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ALL\צוות אלטשולר\הוצאות ישירות\קו הבריאות\2024\רבעון 4\דיווח לציבור על הוצאות ישירות\"/>
    </mc:Choice>
  </mc:AlternateContent>
  <xr:revisionPtr revIDLastSave="0" documentId="8_{F586C2D2-948A-4B39-AAE3-A3CBC30352FA}" xr6:coauthVersionLast="36" xr6:coauthVersionMax="36" xr10:uidLastSave="{00000000-0000-0000-0000-000000000000}"/>
  <bookViews>
    <workbookView xWindow="2790" yWindow="0" windowWidth="19200" windowHeight="10425" xr2:uid="{55587C5A-AFE5-4C44-9542-E800A769092C}"/>
  </bookViews>
  <sheets>
    <sheet name="נספח 1" sheetId="1" r:id="rId1"/>
    <sheet name="נספח 2" sheetId="2" r:id="rId2"/>
    <sheet name="נספח 3" sheetId="3" r:id="rId3"/>
    <sheet name="7209" sheetId="4" r:id="rId4"/>
    <sheet name="7210" sheetId="5" r:id="rId5"/>
    <sheet name="7211" sheetId="6" r:id="rId6"/>
  </sheets>
  <externalReferences>
    <externalReference r:id="rId7"/>
    <externalReference r:id="rId8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6" l="1"/>
  <c r="D42" i="4" l="1"/>
  <c r="D42" i="5"/>
  <c r="C73" i="3"/>
  <c r="C92" i="3" l="1"/>
  <c r="C80" i="3" l="1"/>
  <c r="D46" i="5"/>
  <c r="C64" i="3" l="1"/>
  <c r="C85" i="3" l="1"/>
  <c r="C35" i="3"/>
  <c r="C25" i="3"/>
  <c r="C32" i="3"/>
  <c r="C33" i="3"/>
  <c r="C28" i="3"/>
  <c r="C8" i="3"/>
  <c r="C7" i="3"/>
  <c r="C86" i="3" l="1"/>
  <c r="C56" i="3"/>
  <c r="C26" i="3"/>
  <c r="D25" i="2"/>
  <c r="D12" i="2"/>
  <c r="D19" i="2" s="1"/>
  <c r="D46" i="1"/>
  <c r="D11" i="6"/>
  <c r="D13" i="1"/>
  <c r="D48" i="6"/>
  <c r="D44" i="6"/>
  <c r="D37" i="6"/>
  <c r="D57" i="6" s="1"/>
  <c r="D25" i="6"/>
  <c r="D31" i="6" s="1"/>
  <c r="D67" i="6" s="1"/>
  <c r="D19" i="6"/>
  <c r="D9" i="6"/>
  <c r="D8" i="6"/>
  <c r="D7" i="6"/>
  <c r="D67" i="5"/>
  <c r="D48" i="5"/>
  <c r="D44" i="5"/>
  <c r="D19" i="5"/>
  <c r="D13" i="5"/>
  <c r="D9" i="5"/>
  <c r="D8" i="5"/>
  <c r="D7" i="5"/>
  <c r="D67" i="4"/>
  <c r="D60" i="4"/>
  <c r="D62" i="4" s="1"/>
  <c r="D57" i="4"/>
  <c r="D48" i="4"/>
  <c r="D44" i="4"/>
  <c r="D25" i="4"/>
  <c r="D19" i="4"/>
  <c r="D13" i="4"/>
  <c r="D7" i="4"/>
  <c r="D9" i="4"/>
  <c r="D8" i="4"/>
  <c r="C87" i="3"/>
  <c r="C74" i="3"/>
  <c r="C65" i="3"/>
  <c r="C59" i="3"/>
  <c r="C58" i="3"/>
  <c r="C57" i="3"/>
  <c r="C45" i="3"/>
  <c r="C43" i="3"/>
  <c r="C42" i="3"/>
  <c r="C41" i="3"/>
  <c r="C40" i="3"/>
  <c r="C39" i="3"/>
  <c r="C38" i="3"/>
  <c r="C37" i="3"/>
  <c r="C36" i="3"/>
  <c r="C34" i="3"/>
  <c r="C31" i="3"/>
  <c r="C30" i="3"/>
  <c r="C29" i="3"/>
  <c r="C27" i="3"/>
  <c r="C24" i="3"/>
  <c r="C23" i="3"/>
  <c r="C22" i="3"/>
  <c r="C21" i="3"/>
  <c r="C20" i="3"/>
  <c r="C19" i="3"/>
  <c r="C15" i="3"/>
  <c r="C14" i="3"/>
  <c r="C13" i="3"/>
  <c r="C12" i="3"/>
  <c r="C11" i="3"/>
  <c r="C10" i="3"/>
  <c r="D34" i="2"/>
  <c r="D26" i="2"/>
  <c r="D18" i="2"/>
  <c r="D17" i="2"/>
  <c r="D13" i="2"/>
  <c r="D11" i="2"/>
  <c r="D15" i="2"/>
  <c r="D14" i="2"/>
  <c r="D16" i="2"/>
  <c r="D10" i="2"/>
  <c r="D8" i="2"/>
  <c r="D48" i="1"/>
  <c r="D44" i="1"/>
  <c r="D19" i="1"/>
  <c r="D9" i="1"/>
  <c r="D8" i="1"/>
  <c r="D7" i="1"/>
  <c r="D52" i="6" l="1"/>
  <c r="D54" i="6" s="1"/>
  <c r="C46" i="3"/>
  <c r="D39" i="1" s="1"/>
  <c r="D39" i="5" s="1"/>
  <c r="C75" i="3"/>
  <c r="C67" i="3"/>
  <c r="C16" i="3"/>
  <c r="D38" i="1" s="1"/>
  <c r="D38" i="5" s="1"/>
  <c r="D45" i="2"/>
  <c r="D60" i="6"/>
  <c r="D62" i="6" s="1"/>
  <c r="D37" i="4"/>
  <c r="D52" i="4" s="1"/>
  <c r="D54" i="4" s="1"/>
  <c r="D11" i="5" l="1"/>
  <c r="D25" i="5" s="1"/>
  <c r="D31" i="5" s="1"/>
  <c r="D11" i="4"/>
  <c r="D37" i="5" l="1"/>
  <c r="D52" i="5" s="1"/>
  <c r="D54" i="5" s="1"/>
  <c r="D57" i="5" l="1"/>
  <c r="D60" i="5"/>
  <c r="C81" i="3"/>
  <c r="D11" i="1"/>
  <c r="D62" i="5" l="1"/>
  <c r="D57" i="1"/>
  <c r="D52" i="1"/>
  <c r="D37" i="1"/>
  <c r="D27" i="1"/>
  <c r="D25" i="1"/>
  <c r="D54" i="1" l="1"/>
  <c r="D60" i="1"/>
  <c r="D31" i="1"/>
  <c r="D67" i="1" l="1"/>
  <c r="D62" i="1"/>
</calcChain>
</file>

<file path=xl/sharedStrings.xml><?xml version="1.0" encoding="utf-8"?>
<sst xmlns="http://schemas.openxmlformats.org/spreadsheetml/2006/main" count="329" uniqueCount="168">
  <si>
    <t>קו הבריאות - קופת גמל</t>
  </si>
  <si>
    <t>נספח 1 סך ההוצאות הישירות ששולמו בעד כל סוג של הוצאה ישירה לתקופה המסתיימת ביום - 31.12.2024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</si>
  <si>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</si>
  <si>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</si>
  <si>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</si>
  <si>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</si>
  <si>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</si>
  <si>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</si>
  <si>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</si>
  <si>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</si>
  <si>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</si>
  <si>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</si>
  <si>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</si>
  <si>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</si>
  <si>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</si>
  <si>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</si>
  <si>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</si>
  <si>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</si>
  <si>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2024</t>
  </si>
  <si>
    <t>ב. השווי המשוערך של נכסי הקופה או המסלול נכון ליום 31 בדצמבר של שנת הכספים שהסתיימה ב 2023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</si>
  <si>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</si>
  <si>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</si>
  <si>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</si>
  <si>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</si>
  <si>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</si>
  <si>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</si>
  <si>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</si>
  <si>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</si>
  <si>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</si>
  <si>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</si>
  <si>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</si>
  <si>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</si>
  <si>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</si>
  <si>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</si>
  <si>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</si>
  <si>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</si>
  <si>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</si>
  <si>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</si>
  <si>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</si>
  <si>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</si>
  <si>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</si>
  <si>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</si>
  <si>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</si>
  <si>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</si>
  <si>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</si>
  <si>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</si>
  <si>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2025</t>
  </si>
  <si>
    <t>19. De: שיעור הוצאות ישירות (סכום של סעיף 9 וסעיף 18)</t>
  </si>
  <si>
    <t>נספח 2 פרוט עמלות והוצאות שאינן עמלות ניהול חיצוני לשנה המסתיימת ביום: 31.12.2024</t>
  </si>
  <si>
    <t>ברוקארז' - עמלות קנייה ומכירה בגין ביצוע עסקאות בניירות ערך סחירים</t>
  </si>
  <si>
    <t>צדדים קשורים</t>
  </si>
  <si>
    <t>(1)</t>
  </si>
  <si>
    <t>ברוקר IBI</t>
  </si>
  <si>
    <t>צדדים שאינם קשורים</t>
  </si>
  <si>
    <t>ברוקר דיסקונט</t>
  </si>
  <si>
    <t>(2)</t>
  </si>
  <si>
    <t>ברוקר לידר הנפקות</t>
  </si>
  <si>
    <t>(3)</t>
  </si>
  <si>
    <t>בנק לאומי</t>
  </si>
  <si>
    <t>(4)</t>
  </si>
  <si>
    <t>מיטב 5018</t>
  </si>
  <si>
    <t>(5)</t>
  </si>
  <si>
    <t>ברוקר אקסלנס</t>
  </si>
  <si>
    <t>(6)</t>
  </si>
  <si>
    <t>ברוקר מזרחי טפחות</t>
  </si>
  <si>
    <t>(7)</t>
  </si>
  <si>
    <t>ברוקר זר</t>
  </si>
  <si>
    <t>(8)</t>
  </si>
  <si>
    <t>LEADER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</si>
  <si>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</si>
  <si>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</si>
  <si>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</si>
  <si>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</si>
  <si>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</si>
  <si>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</si>
  <si>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</si>
  <si>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</si>
  <si>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</si>
  <si>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</si>
  <si>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</si>
  <si>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</si>
  <si>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</si>
  <si>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</si>
  <si>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</si>
  <si>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31.12.2024</t>
  </si>
  <si>
    <t>תשלום הנובע מהשקעה בקרנות השקעה בישראל</t>
  </si>
  <si>
    <t>Fimi Israel Opportunity 6</t>
  </si>
  <si>
    <t>Viola Opportunity I</t>
  </si>
  <si>
    <t>מונטה</t>
  </si>
  <si>
    <t>פורטיסימו 3</t>
  </si>
  <si>
    <t>קוגיטו קפיטל BME</t>
  </si>
  <si>
    <t>קוגיטו קפיטל SME</t>
  </si>
  <si>
    <t>סך תשלומים הנובעים מהשקעה בקרנות השקעה בישראל</t>
  </si>
  <si>
    <t>תשלום הנובע מהשקעה בקרנות השקעה בחול</t>
  </si>
  <si>
    <t>Alto III</t>
  </si>
  <si>
    <t>Apexus Logistic Fund</t>
  </si>
  <si>
    <t xml:space="preserve">Blue Atlantic PTNR </t>
  </si>
  <si>
    <t>Blue Atlantic PTNR II</t>
  </si>
  <si>
    <t>Blue Atlantic PTNR III</t>
  </si>
  <si>
    <t>Blue Owl RE Fund VI</t>
  </si>
  <si>
    <t>Electra America Principal Hospitality</t>
  </si>
  <si>
    <t>EQT Infrastructure V (יורו)</t>
  </si>
  <si>
    <t>First Time II</t>
  </si>
  <si>
    <t>Hamilton Co-invest IV</t>
  </si>
  <si>
    <t>HGI Multifamily Credit Fund</t>
  </si>
  <si>
    <t>Insight Partners XII</t>
  </si>
  <si>
    <t>Pantheon Access Feeder 2017</t>
  </si>
  <si>
    <t>PGIF IV  פנתאון</t>
  </si>
  <si>
    <t>Starlight Bond FP I</t>
  </si>
  <si>
    <t>Vintage Growth Fund III</t>
  </si>
  <si>
    <t>Vintage IV</t>
  </si>
  <si>
    <t>Vintage Secondary IV</t>
  </si>
  <si>
    <t>Vintage V Acess</t>
  </si>
  <si>
    <t>אלקטרה II</t>
  </si>
  <si>
    <t>פורמה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</si>
  <si>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</si>
  <si>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</si>
  <si>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</si>
  <si>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</si>
  <si>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</si>
  <si>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</si>
  <si>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</si>
  <si>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 xml:space="preserve">BlackRock  Asset Managment </t>
  </si>
  <si>
    <t>State Street Corp</t>
  </si>
  <si>
    <t>Invesco investment management limited</t>
  </si>
  <si>
    <t>WisdomTree Europe ltd</t>
  </si>
  <si>
    <t>KRANESHARES</t>
  </si>
  <si>
    <t xml:space="preserve"> iShares Global Clean Energy ET</t>
  </si>
  <si>
    <t>Vanguard Group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</si>
  <si>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</si>
  <si>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</si>
  <si>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</si>
  <si>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מיטב קרנות נאמנות בע"מ</t>
  </si>
  <si>
    <t>קסם קרנות נאמנות בע"מ</t>
  </si>
  <si>
    <t>מגדל קרנות נאמנות בע"מ</t>
  </si>
  <si>
    <t>הראל קרנות נאמנות בע"מ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</si>
  <si>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</si>
  <si>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</si>
  <si>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</si>
  <si>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</si>
  <si>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</si>
  <si>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</si>
  <si>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</si>
  <si>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CIFC Senior Secured Corporate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</si>
  <si>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</si>
  <si>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</si>
  <si>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</si>
  <si>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</si>
  <si>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</si>
  <si>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</si>
  <si>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</si>
  <si>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 xml:space="preserve">קו הבריאות 50 ומטה </t>
  </si>
  <si>
    <t xml:space="preserve">קו הבריאות 50-60 </t>
  </si>
  <si>
    <t xml:space="preserve">קו הבריאות 60 ומעלה </t>
  </si>
  <si>
    <t>OSCAR GRUSS-14</t>
  </si>
  <si>
    <t>(9)</t>
  </si>
  <si>
    <t>Klirmark Fund III</t>
  </si>
  <si>
    <t>Klirmark Fund IV</t>
  </si>
  <si>
    <t>Fimi Israel Opportunity 5</t>
  </si>
  <si>
    <t>Direct Lending III</t>
  </si>
  <si>
    <t>Colchis Income Fund</t>
  </si>
  <si>
    <t>ICG Europe VII</t>
  </si>
  <si>
    <t>ICG North American Private Debt II</t>
  </si>
  <si>
    <t>MV Credit Senior II</t>
  </si>
  <si>
    <t>ויטהלייף</t>
  </si>
  <si>
    <t>S&amp;P 500</t>
  </si>
  <si>
    <t>SXLE LN</t>
  </si>
  <si>
    <t>CIFC Asset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</si>
</sst>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Fill="1" applyAlignment="1">
      <alignment horizontal="right" readingOrder="1"/>
    </xf>
    <xf numFmtId="0" fontId="3" fillId="0" borderId="0" xfId="0" applyFont="1" applyFill="1" applyAlignment="1">
      <alignment vertical="center"/>
    </xf>
    <xf numFmtId="164" fontId="3" fillId="0" borderId="0" xfId="1" applyFont="1" applyFill="1"/>
    <xf numFmtId="0" fontId="3" fillId="0" borderId="0" xfId="0" applyFont="1" applyFill="1"/>
    <xf numFmtId="0" fontId="4" fillId="0" borderId="0" xfId="0" applyFont="1" applyFill="1" applyAlignment="1">
      <alignment horizontal="right" readingOrder="1"/>
    </xf>
    <xf numFmtId="0" fontId="2" fillId="0" borderId="0" xfId="0" applyFont="1" applyFill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right" readingOrder="1"/>
    </xf>
    <xf numFmtId="0" fontId="3" fillId="0" borderId="0" xfId="0" applyFont="1" applyFill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Fill="1" applyAlignment="1">
      <alignment horizontal="right" readingOrder="1"/>
    </xf>
    <xf numFmtId="164" fontId="6" fillId="0" borderId="0" xfId="1" applyFont="1" applyFill="1"/>
    <xf numFmtId="0" fontId="7" fillId="0" borderId="0" xfId="0" applyFont="1" applyFill="1"/>
    <xf numFmtId="10" fontId="3" fillId="0" borderId="0" xfId="2" applyNumberFormat="1" applyFont="1" applyFill="1"/>
    <xf numFmtId="0" fontId="7" fillId="0" borderId="0" xfId="0" applyFont="1" applyFill="1" applyAlignment="1">
      <alignment horizontal="right" readingOrder="2"/>
    </xf>
    <xf numFmtId="0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NumberFormat="1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164" fontId="11" fillId="0" borderId="0" xfId="1" applyFont="1"/>
    <xf numFmtId="0" fontId="11" fillId="0" borderId="0" xfId="0" applyFont="1"/>
    <xf numFmtId="164" fontId="5" fillId="0" borderId="0" xfId="1" applyFont="1"/>
    <xf numFmtId="0" fontId="11" fillId="0" borderId="0" xfId="0" applyFont="1" applyAlignment="1">
      <alignment horizontal="center"/>
    </xf>
    <xf numFmtId="164" fontId="13" fillId="0" borderId="0" xfId="1" applyFont="1"/>
    <xf numFmtId="0" fontId="10" fillId="0" borderId="0" xfId="0" applyFont="1" applyAlignment="1">
      <alignment horizontal="right"/>
    </xf>
    <xf numFmtId="164" fontId="10" fillId="0" borderId="0" xfId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1" fillId="0" borderId="0" xfId="1" applyFont="1" applyAlignment="1">
      <alignment horizontal="center" vertical="center"/>
    </xf>
    <xf numFmtId="164" fontId="11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0" fontId="8" fillId="0" borderId="0" xfId="0" applyFont="1" applyFill="1" applyAlignment="1">
      <alignment horizontal="right" readingOrder="1"/>
    </xf>
    <xf numFmtId="0" fontId="8" fillId="0" borderId="0" xfId="0" applyFont="1" applyFill="1"/>
    <xf numFmtId="164" fontId="8" fillId="0" borderId="0" xfId="1" applyFont="1" applyFill="1"/>
    <xf numFmtId="0" fontId="9" fillId="0" borderId="0" xfId="0" applyFont="1" applyFill="1" applyAlignment="1">
      <alignment horizontal="right" readingOrder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readingOrder="2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right" readingOrder="2"/>
    </xf>
    <xf numFmtId="0" fontId="10" fillId="0" borderId="0" xfId="0" applyFont="1" applyFill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 applyAlignment="1">
      <alignment horizontal="right" readingOrder="1"/>
    </xf>
    <xf numFmtId="164" fontId="10" fillId="0" borderId="0" xfId="1" applyFont="1" applyFill="1"/>
    <xf numFmtId="0" fontId="10" fillId="0" borderId="0" xfId="0" applyFont="1" applyFill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 readingOrder="1"/>
    </xf>
    <xf numFmtId="0" fontId="11" fillId="0" borderId="0" xfId="0" applyFont="1" applyFill="1"/>
    <xf numFmtId="10" fontId="10" fillId="0" borderId="0" xfId="2" applyNumberFormat="1" applyFont="1" applyFill="1"/>
    <xf numFmtId="164" fontId="0" fillId="0" borderId="0" xfId="1" applyFont="1"/>
    <xf numFmtId="0" fontId="14" fillId="0" borderId="0" xfId="0" applyFont="1" applyAlignment="1">
      <alignment horizontal="right" vertical="center"/>
    </xf>
    <xf numFmtId="164" fontId="10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ALL/&#1510;&#1493;&#1493;&#1514;%20&#1488;&#1500;&#1496;&#1513;&#1493;&#1500;&#1512;/&#1492;&#1493;&#1510;&#1488;&#1493;&#1514;%20&#1497;&#1513;&#1497;&#1512;&#1493;&#1514;/&#1511;&#1493;%20&#1492;&#1489;&#1512;&#1497;&#1488;&#1493;&#1514;/2024/&#1512;&#1489;&#1506;&#1493;&#1503;%204/&#1505;&#1497;&#1499;&#1493;&#1501;%20&#1492;&#1493;&#1510;&#1488;&#1493;&#1514;%20&#1497;&#1513;&#1497;&#1512;&#1493;&#1514;/31-12-2024/&#1505;&#1497;&#1499;&#1493;&#1501;%20&#1492;&#1493;&#1510;&#1488;&#1493;&#1514;%20&#1497;&#1513;&#1497;&#1512;&#1493;&#1514;%205033%2031-12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קו הבריאות</v>
          </cell>
        </row>
        <row r="7">
          <cell r="C7">
            <v>45657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5033</v>
          </cell>
          <cell r="J2">
            <v>7209</v>
          </cell>
        </row>
        <row r="3">
          <cell r="B3">
            <v>5033</v>
          </cell>
          <cell r="J3">
            <v>7210</v>
          </cell>
        </row>
        <row r="4">
          <cell r="B4">
            <v>5033</v>
          </cell>
          <cell r="J4">
            <v>7211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1409-4618-4DC7-98ED-482E91B903C2}">
  <sheetPr codeName="Sheet3">
    <tabColor rgb="FF002060"/>
  </sheetPr>
  <dimension ref="B2:D67"/>
  <sheetViews>
    <sheetView showGridLines="0" rightToLeft="1" tabSelected="1" zoomScale="90" zoomScaleNormal="90" workbookViewId="0"/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130.625" style="4" customWidth="1"/>
    <col min="4" max="4" width="14" style="3" bestFit="1" customWidth="1"/>
    <col min="5" max="16384" width="9.125" style="4"/>
  </cols>
  <sheetData>
    <row r="2" spans="2:4" ht="18" customHeight="1" x14ac:dyDescent="0.25">
      <c r="B2" s="1" t="s">
        <v>0</v>
      </c>
      <c r="C2" s="2"/>
    </row>
    <row r="3" spans="2:4" ht="18" customHeight="1" x14ac:dyDescent="0.25">
      <c r="B3" s="5"/>
    </row>
    <row r="4" spans="2:4" ht="18" customHeight="1" x14ac:dyDescent="0.25">
      <c r="B4" s="6" t="s">
        <v>1</v>
      </c>
      <c r="C4" s="2"/>
      <c r="D4" s="7" t="s">
        <v>2</v>
      </c>
    </row>
    <row r="5" spans="2:4" ht="18" customHeight="1" x14ac:dyDescent="0.25">
      <c r="B5" s="8"/>
      <c r="C5" s="2"/>
      <c r="D5" s="9"/>
    </row>
    <row r="6" spans="2:4" ht="18" customHeight="1" x14ac:dyDescent="0.25">
      <c r="B6" s="10" t="s">
        <v>3</v>
      </c>
    </row>
    <row r="7" spans="2:4" ht="18" customHeight="1" x14ac:dyDescent="0.2">
      <c r="B7" s="11" t="s">
        <v>4</v>
      </c>
      <c r="D7" s="12">
        <f>SUM(D8:D9)</f>
        <v>579.60588366800005</v>
      </c>
    </row>
    <row r="8" spans="2:4" ht="18" customHeight="1" x14ac:dyDescent="0.2">
      <c r="C8" s="4" t="s">
        <v>5</v>
      </c>
      <c r="D8" s="14">
        <f>18.850563738+48.89</f>
        <v>67.740563738000006</v>
      </c>
    </row>
    <row r="9" spans="2:4" ht="18" customHeight="1" x14ac:dyDescent="0.2">
      <c r="C9" s="4" t="s">
        <v>6</v>
      </c>
      <c r="D9" s="14">
        <f>93.21531993+418.65</f>
        <v>511.86531993</v>
      </c>
    </row>
    <row r="10" spans="2:4" ht="18" customHeight="1" x14ac:dyDescent="0.25">
      <c r="C10" s="15"/>
      <c r="D10" s="14"/>
    </row>
    <row r="11" spans="2:4" ht="18" customHeight="1" x14ac:dyDescent="0.2">
      <c r="B11" s="11" t="s">
        <v>7</v>
      </c>
      <c r="D11" s="12">
        <f>SUM(D12:D13)</f>
        <v>21.346379999999996</v>
      </c>
    </row>
    <row r="12" spans="2:4" ht="18" customHeight="1" x14ac:dyDescent="0.2">
      <c r="C12" s="13" t="s">
        <v>8</v>
      </c>
      <c r="D12" s="14">
        <v>0</v>
      </c>
    </row>
    <row r="13" spans="2:4" ht="18" customHeight="1" x14ac:dyDescent="0.2">
      <c r="C13" s="13" t="s">
        <v>9</v>
      </c>
      <c r="D13" s="14">
        <f>'7210'!D11+'7209'!D11+'7211'!D13</f>
        <v>21.346379999999996</v>
      </c>
    </row>
    <row r="14" spans="2:4" ht="18" customHeight="1" x14ac:dyDescent="0.2">
      <c r="C14" s="13"/>
      <c r="D14" s="14"/>
    </row>
    <row r="15" spans="2:4" ht="18" customHeight="1" x14ac:dyDescent="0.2">
      <c r="B15" s="11" t="s">
        <v>10</v>
      </c>
      <c r="D15" s="12">
        <v>0</v>
      </c>
    </row>
    <row r="16" spans="2:4" ht="18" customHeight="1" x14ac:dyDescent="0.2">
      <c r="C16" s="13" t="s">
        <v>11</v>
      </c>
      <c r="D16" s="14">
        <v>0</v>
      </c>
    </row>
    <row r="17" spans="2:4" ht="18" customHeight="1" x14ac:dyDescent="0.2">
      <c r="C17" s="13" t="s">
        <v>12</v>
      </c>
      <c r="D17" s="3">
        <v>0</v>
      </c>
    </row>
    <row r="18" spans="2:4" ht="18" customHeight="1" x14ac:dyDescent="0.2"/>
    <row r="19" spans="2:4" ht="18" customHeight="1" x14ac:dyDescent="0.2">
      <c r="B19" s="11" t="s">
        <v>13</v>
      </c>
      <c r="D19" s="3">
        <f>340.028+252.83</f>
        <v>592.85800000000006</v>
      </c>
    </row>
    <row r="20" spans="2:4" ht="18" customHeight="1" x14ac:dyDescent="0.2">
      <c r="B20" s="11"/>
    </row>
    <row r="21" spans="2:4" ht="18" customHeight="1" x14ac:dyDescent="0.2">
      <c r="B21" s="11" t="s">
        <v>14</v>
      </c>
      <c r="D21" s="3">
        <v>0</v>
      </c>
    </row>
    <row r="22" spans="2:4" ht="18" customHeight="1" x14ac:dyDescent="0.2">
      <c r="B22" s="11"/>
    </row>
    <row r="23" spans="2:4" ht="18" customHeight="1" x14ac:dyDescent="0.2">
      <c r="B23" s="11" t="s">
        <v>15</v>
      </c>
      <c r="D23" s="3">
        <v>0</v>
      </c>
    </row>
    <row r="24" spans="2:4" ht="18" customHeight="1" x14ac:dyDescent="0.2">
      <c r="B24" s="11"/>
    </row>
    <row r="25" spans="2:4" ht="18" customHeight="1" x14ac:dyDescent="0.2">
      <c r="B25" s="11" t="s">
        <v>16</v>
      </c>
      <c r="D25" s="3">
        <f>D8+D9+D12+D13+D16+D17+D19+D21+D23</f>
        <v>1193.8102636680001</v>
      </c>
    </row>
    <row r="26" spans="2:4" ht="18" customHeight="1" x14ac:dyDescent="0.2">
      <c r="B26" s="11"/>
    </row>
    <row r="27" spans="2:4" ht="18" customHeight="1" x14ac:dyDescent="0.2">
      <c r="B27" s="11" t="s">
        <v>17</v>
      </c>
      <c r="D27" s="3">
        <f>IFERROR(AVERAGE(D28:D29),0)</f>
        <v>1426442.4659750001</v>
      </c>
    </row>
    <row r="28" spans="2:4" ht="18" customHeight="1" x14ac:dyDescent="0.2">
      <c r="C28" s="4" t="s">
        <v>18</v>
      </c>
      <c r="D28" s="3">
        <v>1427202.25553</v>
      </c>
    </row>
    <row r="29" spans="2:4" ht="18" customHeight="1" x14ac:dyDescent="0.2">
      <c r="C29" s="4" t="s">
        <v>19</v>
      </c>
      <c r="D29" s="3">
        <v>1425682.6764199999</v>
      </c>
    </row>
    <row r="30" spans="2:4" ht="18" customHeight="1" x14ac:dyDescent="0.2"/>
    <row r="31" spans="2:4" ht="18" customHeight="1" x14ac:dyDescent="0.2">
      <c r="B31" s="11" t="s">
        <v>20</v>
      </c>
      <c r="D31" s="16">
        <f>IFERROR(D25/D27,0)</f>
        <v>8.3691441620956542E-4</v>
      </c>
    </row>
    <row r="32" spans="2:4" ht="18" customHeight="1" x14ac:dyDescent="0.2">
      <c r="B32" s="11"/>
    </row>
    <row r="33" spans="2:4" ht="18" customHeight="1" x14ac:dyDescent="0.25">
      <c r="B33" s="8" t="s">
        <v>21</v>
      </c>
    </row>
    <row r="34" spans="2:4" ht="18" customHeight="1" x14ac:dyDescent="0.2">
      <c r="B34" s="11" t="s">
        <v>22</v>
      </c>
      <c r="D34" s="3">
        <v>0</v>
      </c>
    </row>
    <row r="35" spans="2:4" ht="18" customHeight="1" x14ac:dyDescent="0.2">
      <c r="B35" s="11"/>
    </row>
    <row r="36" spans="2:4" ht="18" customHeight="1" x14ac:dyDescent="0.25">
      <c r="B36" s="17" t="s">
        <v>21</v>
      </c>
    </row>
    <row r="37" spans="2:4" ht="18" customHeight="1" x14ac:dyDescent="0.2">
      <c r="B37" s="11" t="s">
        <v>23</v>
      </c>
      <c r="D37" s="3">
        <f>SUM(D38:D50)</f>
        <v>2209.2596659599999</v>
      </c>
    </row>
    <row r="38" spans="2:4" ht="18" customHeight="1" x14ac:dyDescent="0.2">
      <c r="C38" s="11" t="s">
        <v>24</v>
      </c>
      <c r="D38" s="3">
        <f>'נספח 3'!C16</f>
        <v>395.90724299999994</v>
      </c>
    </row>
    <row r="39" spans="2:4" ht="18" customHeight="1" x14ac:dyDescent="0.2">
      <c r="C39" s="11" t="s">
        <v>25</v>
      </c>
      <c r="D39" s="3">
        <f>'נספח 3'!C46</f>
        <v>1615.4626647999999</v>
      </c>
    </row>
    <row r="40" spans="2:4" ht="18" customHeight="1" x14ac:dyDescent="0.2">
      <c r="C40" s="11" t="s">
        <v>26</v>
      </c>
      <c r="D40" s="3">
        <v>0</v>
      </c>
    </row>
    <row r="41" spans="2:4" ht="18" customHeight="1" x14ac:dyDescent="0.2">
      <c r="C41" s="11" t="s">
        <v>27</v>
      </c>
      <c r="D41" s="3">
        <v>0</v>
      </c>
    </row>
    <row r="42" spans="2:4" ht="18" customHeight="1" x14ac:dyDescent="0.2">
      <c r="C42" s="11" t="s">
        <v>28</v>
      </c>
      <c r="D42" s="3">
        <v>2.65</v>
      </c>
    </row>
    <row r="43" spans="2:4" ht="18" customHeight="1" x14ac:dyDescent="0.2">
      <c r="C43" s="11" t="s">
        <v>29</v>
      </c>
    </row>
    <row r="44" spans="2:4" ht="18" customHeight="1" x14ac:dyDescent="0.2">
      <c r="C44" s="11" t="s">
        <v>30</v>
      </c>
      <c r="D44" s="3">
        <f>66.519979015+92.72</f>
        <v>159.23997901500002</v>
      </c>
    </row>
    <row r="45" spans="2:4" ht="18" customHeight="1" x14ac:dyDescent="0.2">
      <c r="C45" s="11" t="s">
        <v>31</v>
      </c>
    </row>
    <row r="46" spans="2:4" ht="18" customHeight="1" x14ac:dyDescent="0.2">
      <c r="C46" s="4" t="s">
        <v>32</v>
      </c>
      <c r="D46" s="3">
        <f>'7210'!D46</f>
        <v>1.32517</v>
      </c>
    </row>
    <row r="47" spans="2:4" ht="18" customHeight="1" x14ac:dyDescent="0.2">
      <c r="C47" s="4" t="s">
        <v>33</v>
      </c>
    </row>
    <row r="48" spans="2:4" ht="18" customHeight="1" x14ac:dyDescent="0.2">
      <c r="C48" s="4" t="s">
        <v>34</v>
      </c>
      <c r="D48" s="3">
        <f>17.174609145+17.5</f>
        <v>34.674609145000005</v>
      </c>
    </row>
    <row r="49" spans="2:4" ht="18" customHeight="1" x14ac:dyDescent="0.2">
      <c r="C49" s="4" t="s">
        <v>33</v>
      </c>
    </row>
    <row r="50" spans="2:4" ht="18" customHeight="1" x14ac:dyDescent="0.2">
      <c r="C50" s="4" t="s">
        <v>35</v>
      </c>
      <c r="D50" s="3">
        <v>0</v>
      </c>
    </row>
    <row r="51" spans="2:4" ht="18" customHeight="1" x14ac:dyDescent="0.2"/>
    <row r="52" spans="2:4" ht="18" customHeight="1" x14ac:dyDescent="0.2">
      <c r="B52" s="11" t="s">
        <v>36</v>
      </c>
      <c r="D52" s="16">
        <f>SUM(D38:D50)/D29</f>
        <v>1.5496152843125111E-3</v>
      </c>
    </row>
    <row r="53" spans="2:4" ht="18" customHeight="1" x14ac:dyDescent="0.2">
      <c r="B53" s="11" t="s">
        <v>37</v>
      </c>
      <c r="D53" s="16"/>
    </row>
    <row r="54" spans="2:4" ht="18" customHeight="1" x14ac:dyDescent="0.2">
      <c r="B54" s="11" t="s">
        <v>38</v>
      </c>
      <c r="D54" s="16">
        <f>IFERROR(D53-D52,"")</f>
        <v>-1.5496152843125111E-3</v>
      </c>
    </row>
    <row r="55" spans="2:4" ht="18" customHeight="1" x14ac:dyDescent="0.2">
      <c r="B55" s="11"/>
    </row>
    <row r="56" spans="2:4" ht="18" customHeight="1" x14ac:dyDescent="0.2">
      <c r="B56" s="11" t="s">
        <v>39</v>
      </c>
      <c r="D56" s="3">
        <v>0</v>
      </c>
    </row>
    <row r="57" spans="2:4" ht="18" customHeight="1" x14ac:dyDescent="0.2">
      <c r="B57" s="11" t="s">
        <v>40</v>
      </c>
      <c r="D57" s="16">
        <f>IFERROR((SUM(D38:D50)-D56)/D29,0)</f>
        <v>1.5496152843125111E-3</v>
      </c>
    </row>
    <row r="58" spans="2:4" ht="18" customHeight="1" x14ac:dyDescent="0.2">
      <c r="B58" s="11"/>
    </row>
    <row r="59" spans="2:4" ht="18" customHeight="1" x14ac:dyDescent="0.25">
      <c r="B59" s="17" t="s">
        <v>41</v>
      </c>
    </row>
    <row r="60" spans="2:4" ht="18" customHeight="1" x14ac:dyDescent="0.2">
      <c r="B60" s="11" t="s">
        <v>42</v>
      </c>
      <c r="D60" s="3">
        <f>D25+SUM(D38:D50)-D56</f>
        <v>3403.069929628</v>
      </c>
    </row>
    <row r="61" spans="2:4" ht="18" customHeight="1" x14ac:dyDescent="0.2">
      <c r="B61" s="11"/>
    </row>
    <row r="62" spans="2:4" ht="18" customHeight="1" x14ac:dyDescent="0.2">
      <c r="B62" s="11" t="s">
        <v>43</v>
      </c>
      <c r="D62" s="16">
        <f>IFERROR(D60/D27,0)</f>
        <v>2.385704303399253E-3</v>
      </c>
    </row>
    <row r="63" spans="2:4" ht="18" customHeight="1" x14ac:dyDescent="0.2">
      <c r="B63" s="11"/>
    </row>
    <row r="64" spans="2:4" ht="18" customHeight="1" x14ac:dyDescent="0.25">
      <c r="B64" s="17" t="s">
        <v>44</v>
      </c>
    </row>
    <row r="65" spans="2:4" ht="18" customHeight="1" x14ac:dyDescent="0.2">
      <c r="B65" s="11" t="s">
        <v>45</v>
      </c>
    </row>
    <row r="66" spans="2:4" ht="18" customHeight="1" x14ac:dyDescent="0.2">
      <c r="B66" s="11" t="s">
        <v>46</v>
      </c>
      <c r="D66" s="16"/>
    </row>
    <row r="67" spans="2:4" ht="18" customHeight="1" x14ac:dyDescent="0.2">
      <c r="B67" s="11" t="s">
        <v>47</v>
      </c>
      <c r="D67" s="16">
        <f>IFERROR(D31+D65,"יש להשלים את סעיף 18")</f>
        <v>8.3691441620956542E-4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C569-10F5-4ED0-9A76-F7AAE2749362}">
  <sheetPr codeName="Sheet4">
    <tabColor rgb="FF002060"/>
  </sheetPr>
  <dimension ref="B1:D45"/>
  <sheetViews>
    <sheetView showGridLines="0" rightToLeft="1" topLeftCell="A19" workbookViewId="0"/>
  </sheetViews>
  <sheetFormatPr defaultColWidth="9" defaultRowHeight="15" x14ac:dyDescent="0.2"/>
  <cols>
    <col min="1" max="1" width="2.75" style="29" customWidth="1"/>
    <col min="2" max="2" width="5.625" style="26" customWidth="1"/>
    <col min="3" max="3" width="71" style="42" bestFit="1" customWidth="1"/>
    <col min="4" max="4" width="10" style="43" bestFit="1" customWidth="1"/>
    <col min="5" max="16384" width="9" style="29"/>
  </cols>
  <sheetData>
    <row r="1" spans="2:4" s="21" customFormat="1" ht="18" x14ac:dyDescent="0.25">
      <c r="B1" s="18"/>
      <c r="C1" s="19"/>
      <c r="D1" s="20"/>
    </row>
    <row r="2" spans="2:4" s="21" customFormat="1" ht="18" x14ac:dyDescent="0.25">
      <c r="B2" s="22" t="s">
        <v>48</v>
      </c>
      <c r="C2" s="19"/>
      <c r="D2" s="20"/>
    </row>
    <row r="3" spans="2:4" s="21" customFormat="1" ht="18" x14ac:dyDescent="0.25">
      <c r="B3" s="18"/>
      <c r="C3" s="23"/>
      <c r="D3" s="24"/>
    </row>
    <row r="4" spans="2:4" s="21" customFormat="1" ht="18" x14ac:dyDescent="0.25">
      <c r="B4" s="25" t="s">
        <v>0</v>
      </c>
      <c r="C4" s="23"/>
      <c r="D4" s="24"/>
    </row>
    <row r="5" spans="2:4" x14ac:dyDescent="0.2">
      <c r="C5" s="27"/>
      <c r="D5" s="28"/>
    </row>
    <row r="6" spans="2:4" ht="15.75" x14ac:dyDescent="0.25">
      <c r="B6" s="30"/>
      <c r="C6" s="31" t="s">
        <v>49</v>
      </c>
      <c r="D6" s="32"/>
    </row>
    <row r="7" spans="2:4" ht="15.75" x14ac:dyDescent="0.25">
      <c r="B7" s="30"/>
      <c r="C7" s="33" t="s">
        <v>50</v>
      </c>
      <c r="D7" s="34" t="s">
        <v>2</v>
      </c>
    </row>
    <row r="8" spans="2:4" x14ac:dyDescent="0.2">
      <c r="B8" s="35" t="s">
        <v>51</v>
      </c>
      <c r="C8" s="35" t="s">
        <v>52</v>
      </c>
      <c r="D8" s="36">
        <f>18.850563738+48.89</f>
        <v>67.740563738000006</v>
      </c>
    </row>
    <row r="9" spans="2:4" ht="15.75" x14ac:dyDescent="0.25">
      <c r="B9" s="35"/>
      <c r="C9" s="33" t="s">
        <v>53</v>
      </c>
      <c r="D9" s="37"/>
    </row>
    <row r="10" spans="2:4" x14ac:dyDescent="0.2">
      <c r="B10" s="35" t="s">
        <v>51</v>
      </c>
      <c r="C10" s="35" t="s">
        <v>54</v>
      </c>
      <c r="D10" s="36">
        <f>1.54618+27.62</f>
        <v>29.166180000000001</v>
      </c>
    </row>
    <row r="11" spans="2:4" x14ac:dyDescent="0.2">
      <c r="B11" s="35" t="s">
        <v>55</v>
      </c>
      <c r="C11" s="35" t="s">
        <v>56</v>
      </c>
      <c r="D11" s="36">
        <f>9.94493+28.68</f>
        <v>38.624929999999999</v>
      </c>
    </row>
    <row r="12" spans="2:4" x14ac:dyDescent="0.2">
      <c r="B12" s="35" t="s">
        <v>57</v>
      </c>
      <c r="C12" s="35" t="s">
        <v>58</v>
      </c>
      <c r="D12" s="36">
        <f>33.5915555+209.05+0.02</f>
        <v>242.66155550000002</v>
      </c>
    </row>
    <row r="13" spans="2:4" x14ac:dyDescent="0.2">
      <c r="B13" s="35" t="s">
        <v>59</v>
      </c>
      <c r="C13" s="35" t="s">
        <v>60</v>
      </c>
      <c r="D13" s="36">
        <f>3.59111+11.15</f>
        <v>14.741110000000001</v>
      </c>
    </row>
    <row r="14" spans="2:4" x14ac:dyDescent="0.2">
      <c r="B14" s="35" t="s">
        <v>61</v>
      </c>
      <c r="C14" s="35" t="s">
        <v>62</v>
      </c>
      <c r="D14" s="36">
        <f>32.03395847+33.2</f>
        <v>65.233958470000005</v>
      </c>
    </row>
    <row r="15" spans="2:4" x14ac:dyDescent="0.2">
      <c r="B15" s="35" t="s">
        <v>63</v>
      </c>
      <c r="C15" s="35" t="s">
        <v>64</v>
      </c>
      <c r="D15" s="36">
        <f>1.44003+6.5</f>
        <v>7.9400300000000001</v>
      </c>
    </row>
    <row r="16" spans="2:4" x14ac:dyDescent="0.2">
      <c r="B16" s="35" t="s">
        <v>65</v>
      </c>
      <c r="C16" s="35" t="s">
        <v>66</v>
      </c>
      <c r="D16" s="36">
        <f>9.937245+51.18</f>
        <v>61.117244999999997</v>
      </c>
    </row>
    <row r="17" spans="2:4" x14ac:dyDescent="0.2">
      <c r="B17" s="35" t="s">
        <v>67</v>
      </c>
      <c r="C17" s="35" t="s">
        <v>68</v>
      </c>
      <c r="D17" s="36">
        <f>1.13031096+21.72</f>
        <v>22.850310959999998</v>
      </c>
    </row>
    <row r="18" spans="2:4" x14ac:dyDescent="0.2">
      <c r="B18" s="35" t="s">
        <v>155</v>
      </c>
      <c r="C18" s="35" t="s">
        <v>154</v>
      </c>
      <c r="D18" s="36">
        <f>14.9266509+14.61</f>
        <v>29.536650899999998</v>
      </c>
    </row>
    <row r="19" spans="2:4" ht="15.75" x14ac:dyDescent="0.25">
      <c r="C19" s="38" t="s">
        <v>69</v>
      </c>
      <c r="D19" s="37">
        <f>SUM(D8:D18)</f>
        <v>579.612534568</v>
      </c>
    </row>
    <row r="20" spans="2:4" ht="15.75" x14ac:dyDescent="0.25">
      <c r="C20" s="33"/>
      <c r="D20" s="39"/>
    </row>
    <row r="21" spans="2:4" ht="15.75" x14ac:dyDescent="0.25">
      <c r="C21" s="31" t="s">
        <v>70</v>
      </c>
      <c r="D21" s="37"/>
    </row>
    <row r="22" spans="2:4" ht="15.75" x14ac:dyDescent="0.25">
      <c r="C22" s="33" t="s">
        <v>50</v>
      </c>
      <c r="D22" s="37"/>
    </row>
    <row r="23" spans="2:4" x14ac:dyDescent="0.2">
      <c r="B23" s="29"/>
      <c r="C23" s="29"/>
      <c r="D23" s="36">
        <v>0</v>
      </c>
    </row>
    <row r="24" spans="2:4" ht="15.75" x14ac:dyDescent="0.25">
      <c r="B24" s="35"/>
      <c r="C24" s="33" t="s">
        <v>53</v>
      </c>
      <c r="D24" s="36"/>
    </row>
    <row r="25" spans="2:4" x14ac:dyDescent="0.2">
      <c r="B25" s="35" t="s">
        <v>51</v>
      </c>
      <c r="C25" s="35" t="s">
        <v>58</v>
      </c>
      <c r="D25" s="36">
        <f>6.236+15.11</f>
        <v>21.346</v>
      </c>
    </row>
    <row r="26" spans="2:4" ht="15.75" x14ac:dyDescent="0.25">
      <c r="B26" s="35"/>
      <c r="C26" s="40" t="s">
        <v>71</v>
      </c>
      <c r="D26" s="37">
        <f>D25</f>
        <v>21.346</v>
      </c>
    </row>
    <row r="27" spans="2:4" ht="15.75" x14ac:dyDescent="0.25">
      <c r="C27" s="33"/>
      <c r="D27" s="37"/>
    </row>
    <row r="28" spans="2:4" ht="15.75" x14ac:dyDescent="0.25">
      <c r="C28" s="33" t="s">
        <v>72</v>
      </c>
      <c r="D28" s="37"/>
    </row>
    <row r="29" spans="2:4" ht="15.75" x14ac:dyDescent="0.25">
      <c r="C29" s="38" t="s">
        <v>73</v>
      </c>
      <c r="D29" s="37">
        <v>0</v>
      </c>
    </row>
    <row r="30" spans="2:4" ht="15.75" x14ac:dyDescent="0.25">
      <c r="C30" s="33"/>
      <c r="D30" s="37"/>
    </row>
    <row r="31" spans="2:4" ht="15.75" x14ac:dyDescent="0.25">
      <c r="C31" s="33" t="s">
        <v>74</v>
      </c>
      <c r="D31" s="37"/>
    </row>
    <row r="32" spans="2:4" ht="15.75" x14ac:dyDescent="0.25">
      <c r="C32" s="38" t="s">
        <v>75</v>
      </c>
      <c r="D32" s="37">
        <v>0</v>
      </c>
    </row>
    <row r="33" spans="3:4" ht="15.75" x14ac:dyDescent="0.25">
      <c r="C33" s="33"/>
      <c r="D33" s="37"/>
    </row>
    <row r="34" spans="3:4" ht="15.75" x14ac:dyDescent="0.25">
      <c r="C34" s="33" t="s">
        <v>76</v>
      </c>
      <c r="D34" s="41">
        <f>340.028+252.83</f>
        <v>592.85800000000006</v>
      </c>
    </row>
    <row r="35" spans="3:4" ht="15.75" x14ac:dyDescent="0.25">
      <c r="C35" s="33"/>
      <c r="D35" s="37"/>
    </row>
    <row r="36" spans="3:4" ht="15.75" x14ac:dyDescent="0.25">
      <c r="C36" s="33" t="s">
        <v>77</v>
      </c>
      <c r="D36" s="37"/>
    </row>
    <row r="37" spans="3:4" ht="15.75" x14ac:dyDescent="0.25">
      <c r="C37" s="38" t="s">
        <v>78</v>
      </c>
      <c r="D37" s="37">
        <v>0</v>
      </c>
    </row>
    <row r="38" spans="3:4" ht="15.75" x14ac:dyDescent="0.25">
      <c r="C38" s="33"/>
      <c r="D38" s="37"/>
    </row>
    <row r="39" spans="3:4" ht="15.75" x14ac:dyDescent="0.25">
      <c r="C39" s="33" t="s">
        <v>79</v>
      </c>
      <c r="D39" s="37"/>
    </row>
    <row r="40" spans="3:4" ht="15.75" x14ac:dyDescent="0.25">
      <c r="C40" s="38" t="s">
        <v>80</v>
      </c>
      <c r="D40" s="37">
        <v>0</v>
      </c>
    </row>
    <row r="41" spans="3:4" ht="15.75" x14ac:dyDescent="0.25">
      <c r="C41" s="33"/>
      <c r="D41" s="37"/>
    </row>
    <row r="42" spans="3:4" ht="15.75" x14ac:dyDescent="0.25">
      <c r="C42" s="33" t="s">
        <v>81</v>
      </c>
      <c r="D42" s="37"/>
    </row>
    <row r="43" spans="3:4" ht="15.75" x14ac:dyDescent="0.25">
      <c r="C43" s="38" t="s">
        <v>82</v>
      </c>
      <c r="D43" s="37">
        <v>0</v>
      </c>
    </row>
    <row r="44" spans="3:4" ht="15.75" x14ac:dyDescent="0.25">
      <c r="C44" s="31"/>
      <c r="D44" s="39"/>
    </row>
    <row r="45" spans="3:4" ht="15.75" x14ac:dyDescent="0.25">
      <c r="C45" s="31" t="s">
        <v>83</v>
      </c>
      <c r="D45" s="39">
        <f>D19+D26+D34</f>
        <v>1193.816534568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45D1-CF1D-4746-97B3-79F0FE0BF894}">
  <sheetPr codeName="Sheet5">
    <tabColor rgb="FF002060"/>
  </sheetPr>
  <dimension ref="A1:D96"/>
  <sheetViews>
    <sheetView showGridLines="0" rightToLeft="1" topLeftCell="A58" zoomScaleNormal="100" workbookViewId="0">
      <selection activeCell="B90" sqref="B90"/>
    </sheetView>
  </sheetViews>
  <sheetFormatPr defaultColWidth="9" defaultRowHeight="15" x14ac:dyDescent="0.2"/>
  <cols>
    <col min="1" max="1" width="4.625" style="47" customWidth="1"/>
    <col min="2" max="2" width="71.5" style="29" bestFit="1" customWidth="1"/>
    <col min="3" max="3" width="17.875" style="43" bestFit="1" customWidth="1"/>
    <col min="4" max="4" width="10.125" style="43" bestFit="1" customWidth="1"/>
    <col min="5" max="16384" width="9" style="29"/>
  </cols>
  <sheetData>
    <row r="1" spans="1:4" s="21" customFormat="1" ht="18" x14ac:dyDescent="0.25">
      <c r="A1" s="44"/>
      <c r="C1" s="20"/>
      <c r="D1" s="20"/>
    </row>
    <row r="2" spans="1:4" s="21" customFormat="1" ht="18" x14ac:dyDescent="0.25">
      <c r="A2" s="44"/>
      <c r="B2" s="45" t="s">
        <v>84</v>
      </c>
      <c r="C2" s="20"/>
      <c r="D2" s="20"/>
    </row>
    <row r="3" spans="1:4" s="21" customFormat="1" ht="18" x14ac:dyDescent="0.25">
      <c r="A3" s="44"/>
      <c r="B3" s="23"/>
      <c r="C3" s="20"/>
      <c r="D3" s="20"/>
    </row>
    <row r="4" spans="1:4" s="21" customFormat="1" ht="18" x14ac:dyDescent="0.25">
      <c r="A4" s="44"/>
      <c r="B4" s="46" t="s">
        <v>0</v>
      </c>
      <c r="C4" s="20"/>
      <c r="D4" s="20"/>
    </row>
    <row r="6" spans="1:4" ht="15.75" x14ac:dyDescent="0.25">
      <c r="B6" s="33" t="s">
        <v>85</v>
      </c>
      <c r="C6" s="34" t="s">
        <v>2</v>
      </c>
    </row>
    <row r="7" spans="1:4" x14ac:dyDescent="0.2">
      <c r="B7" s="74" t="s">
        <v>156</v>
      </c>
      <c r="C7" s="49">
        <f>120.484+22.619</f>
        <v>143.10300000000001</v>
      </c>
    </row>
    <row r="8" spans="1:4" x14ac:dyDescent="0.2">
      <c r="B8" s="74" t="s">
        <v>157</v>
      </c>
      <c r="C8" s="49">
        <f>75.3735+20.929</f>
        <v>96.302500000000009</v>
      </c>
    </row>
    <row r="9" spans="1:4" x14ac:dyDescent="0.2">
      <c r="B9" s="74" t="s">
        <v>158</v>
      </c>
      <c r="C9" s="49">
        <v>3.050322</v>
      </c>
    </row>
    <row r="10" spans="1:4" x14ac:dyDescent="0.2">
      <c r="B10" s="48" t="s">
        <v>86</v>
      </c>
      <c r="C10" s="73">
        <f>16.626673+49.94</f>
        <v>66.566672999999994</v>
      </c>
    </row>
    <row r="11" spans="1:4" x14ac:dyDescent="0.2">
      <c r="B11" s="48" t="s">
        <v>87</v>
      </c>
      <c r="C11" s="73">
        <f>4.890627+1.96</f>
        <v>6.8506270000000002</v>
      </c>
    </row>
    <row r="12" spans="1:4" x14ac:dyDescent="0.2">
      <c r="B12" s="48" t="s">
        <v>88</v>
      </c>
      <c r="C12" s="73">
        <f>10.922765+33.39</f>
        <v>44.312764999999999</v>
      </c>
    </row>
    <row r="13" spans="1:4" x14ac:dyDescent="0.2">
      <c r="B13" s="48" t="s">
        <v>89</v>
      </c>
      <c r="C13" s="73">
        <f>3.457356+15.09</f>
        <v>18.547356000000001</v>
      </c>
    </row>
    <row r="14" spans="1:4" x14ac:dyDescent="0.2">
      <c r="B14" s="48" t="s">
        <v>90</v>
      </c>
      <c r="C14" s="73">
        <f>1.364+4.35</f>
        <v>5.7139999999999995</v>
      </c>
    </row>
    <row r="15" spans="1:4" x14ac:dyDescent="0.2">
      <c r="B15" s="48" t="s">
        <v>91</v>
      </c>
      <c r="C15" s="73">
        <f>3.3+8.16</f>
        <v>11.46</v>
      </c>
    </row>
    <row r="16" spans="1:4" ht="15.75" x14ac:dyDescent="0.2">
      <c r="B16" s="50" t="s">
        <v>92</v>
      </c>
      <c r="C16" s="51">
        <f>SUM(C7:C15)</f>
        <v>395.90724299999994</v>
      </c>
    </row>
    <row r="17" spans="2:3" ht="15.75" x14ac:dyDescent="0.25">
      <c r="B17" s="33"/>
      <c r="C17" s="49"/>
    </row>
    <row r="18" spans="2:3" ht="15.75" x14ac:dyDescent="0.25">
      <c r="B18" s="33" t="s">
        <v>93</v>
      </c>
      <c r="C18" s="49"/>
    </row>
    <row r="19" spans="2:3" x14ac:dyDescent="0.2">
      <c r="B19" s="48" t="s">
        <v>94</v>
      </c>
      <c r="C19" s="73">
        <f>20.375789+63.41</f>
        <v>83.785788999999994</v>
      </c>
    </row>
    <row r="20" spans="2:3" x14ac:dyDescent="0.2">
      <c r="B20" s="48" t="s">
        <v>95</v>
      </c>
      <c r="C20" s="73">
        <f>12.221097+42.43</f>
        <v>54.651097</v>
      </c>
    </row>
    <row r="21" spans="2:3" x14ac:dyDescent="0.2">
      <c r="B21" s="48" t="s">
        <v>96</v>
      </c>
      <c r="C21" s="73">
        <f>31.448081+96.15</f>
        <v>127.59808100000001</v>
      </c>
    </row>
    <row r="22" spans="2:3" x14ac:dyDescent="0.2">
      <c r="B22" s="48" t="s">
        <v>97</v>
      </c>
      <c r="C22" s="73">
        <f>16.4115+50.17</f>
        <v>66.581500000000005</v>
      </c>
    </row>
    <row r="23" spans="2:3" x14ac:dyDescent="0.2">
      <c r="B23" s="48" t="s">
        <v>98</v>
      </c>
      <c r="C23" s="73">
        <f>32.735472+100.08</f>
        <v>132.815472</v>
      </c>
    </row>
    <row r="24" spans="2:3" x14ac:dyDescent="0.2">
      <c r="B24" s="48" t="s">
        <v>99</v>
      </c>
      <c r="C24" s="73">
        <f>21.440713+76.28</f>
        <v>97.720713000000003</v>
      </c>
    </row>
    <row r="25" spans="2:3" x14ac:dyDescent="0.2">
      <c r="B25" s="48" t="s">
        <v>159</v>
      </c>
      <c r="C25" s="73">
        <f>61.72+17.892</f>
        <v>79.611999999999995</v>
      </c>
    </row>
    <row r="26" spans="2:3" x14ac:dyDescent="0.2">
      <c r="B26" s="48" t="s">
        <v>100</v>
      </c>
      <c r="C26" s="73">
        <f>14.653646+141.57-0.02</f>
        <v>156.20364599999999</v>
      </c>
    </row>
    <row r="27" spans="2:3" x14ac:dyDescent="0.2">
      <c r="B27" s="48" t="s">
        <v>101</v>
      </c>
      <c r="C27" s="73">
        <f>25.1663356+86.06</f>
        <v>111.2263356</v>
      </c>
    </row>
    <row r="28" spans="2:3" x14ac:dyDescent="0.2">
      <c r="B28" s="48" t="s">
        <v>160</v>
      </c>
      <c r="C28" s="73">
        <f>0.69+0.252</f>
        <v>0.94199999999999995</v>
      </c>
    </row>
    <row r="29" spans="2:3" x14ac:dyDescent="0.2">
      <c r="B29" s="48" t="s">
        <v>102</v>
      </c>
      <c r="C29" s="73">
        <f>7.078827+22.09</f>
        <v>29.168827</v>
      </c>
    </row>
    <row r="30" spans="2:3" x14ac:dyDescent="0.2">
      <c r="B30" s="48" t="s">
        <v>103</v>
      </c>
      <c r="C30" s="73">
        <f>20.426847+69.56</f>
        <v>89.986846999999997</v>
      </c>
    </row>
    <row r="31" spans="2:3" x14ac:dyDescent="0.2">
      <c r="B31" s="48" t="s">
        <v>104</v>
      </c>
      <c r="C31" s="73">
        <f>13.107318+23.36</f>
        <v>36.467317999999999</v>
      </c>
    </row>
    <row r="32" spans="2:3" x14ac:dyDescent="0.2">
      <c r="B32" s="48" t="s">
        <v>161</v>
      </c>
      <c r="C32" s="73">
        <f>35.72+9.723</f>
        <v>45.442999999999998</v>
      </c>
    </row>
    <row r="33" spans="2:3" x14ac:dyDescent="0.2">
      <c r="B33" s="48" t="s">
        <v>162</v>
      </c>
      <c r="C33" s="73">
        <f>33.64+7.502</f>
        <v>41.142000000000003</v>
      </c>
    </row>
    <row r="34" spans="2:3" x14ac:dyDescent="0.2">
      <c r="B34" s="48" t="s">
        <v>105</v>
      </c>
      <c r="C34" s="73">
        <f>31.80184+92.13</f>
        <v>123.93183999999999</v>
      </c>
    </row>
    <row r="35" spans="2:3" x14ac:dyDescent="0.2">
      <c r="B35" s="48" t="s">
        <v>163</v>
      </c>
      <c r="C35" s="73">
        <f>33.23+7.297</f>
        <v>40.526999999999994</v>
      </c>
    </row>
    <row r="36" spans="2:3" x14ac:dyDescent="0.2">
      <c r="B36" s="48" t="s">
        <v>106</v>
      </c>
      <c r="C36" s="73">
        <f>0.262584+42.98</f>
        <v>43.242583999999994</v>
      </c>
    </row>
    <row r="37" spans="2:3" x14ac:dyDescent="0.2">
      <c r="B37" s="48" t="s">
        <v>107</v>
      </c>
      <c r="C37" s="73">
        <f>10.999352+21.87</f>
        <v>32.869351999999999</v>
      </c>
    </row>
    <row r="38" spans="2:3" x14ac:dyDescent="0.2">
      <c r="B38" s="48" t="s">
        <v>108</v>
      </c>
      <c r="C38" s="73">
        <f>7.9318362+24.93</f>
        <v>32.861836199999999</v>
      </c>
    </row>
    <row r="39" spans="2:3" x14ac:dyDescent="0.2">
      <c r="B39" s="48" t="s">
        <v>109</v>
      </c>
      <c r="C39" s="73">
        <f>2.633134+15.7</f>
        <v>18.333134000000001</v>
      </c>
    </row>
    <row r="40" spans="2:3" x14ac:dyDescent="0.2">
      <c r="B40" s="48" t="s">
        <v>110</v>
      </c>
      <c r="C40" s="73">
        <f>2.640428+8.08</f>
        <v>10.720428</v>
      </c>
    </row>
    <row r="41" spans="2:3" x14ac:dyDescent="0.2">
      <c r="B41" s="48" t="s">
        <v>111</v>
      </c>
      <c r="C41" s="73">
        <f>2.593017+9.34</f>
        <v>11.933017</v>
      </c>
    </row>
    <row r="42" spans="2:3" x14ac:dyDescent="0.2">
      <c r="B42" s="48" t="s">
        <v>112</v>
      </c>
      <c r="C42" s="73">
        <f>1.487976+13.74</f>
        <v>15.227976</v>
      </c>
    </row>
    <row r="43" spans="2:3" x14ac:dyDescent="0.2">
      <c r="B43" s="48" t="s">
        <v>113</v>
      </c>
      <c r="C43" s="73">
        <f>15.441398+47.69</f>
        <v>63.131397999999997</v>
      </c>
    </row>
    <row r="44" spans="2:3" x14ac:dyDescent="0.2">
      <c r="B44" s="48" t="s">
        <v>164</v>
      </c>
      <c r="C44" s="49">
        <v>1.9239359999999999</v>
      </c>
    </row>
    <row r="45" spans="2:3" x14ac:dyDescent="0.2">
      <c r="B45" s="48" t="s">
        <v>114</v>
      </c>
      <c r="C45" s="73">
        <f>16.305538+51.11</f>
        <v>67.415537999999998</v>
      </c>
    </row>
    <row r="46" spans="2:3" ht="15.75" x14ac:dyDescent="0.25">
      <c r="B46" s="38" t="s">
        <v>115</v>
      </c>
      <c r="C46" s="51">
        <f>SUM(C19:C45)</f>
        <v>1615.4626647999999</v>
      </c>
    </row>
    <row r="47" spans="2:3" ht="15.75" x14ac:dyDescent="0.2">
      <c r="B47" s="50"/>
      <c r="C47" s="51"/>
    </row>
    <row r="48" spans="2:3" ht="15.75" x14ac:dyDescent="0.25">
      <c r="B48" s="33" t="s">
        <v>116</v>
      </c>
    </row>
    <row r="49" spans="2:3" ht="15.75" x14ac:dyDescent="0.2">
      <c r="B49" s="50" t="s">
        <v>117</v>
      </c>
      <c r="C49" s="51">
        <v>0</v>
      </c>
    </row>
    <row r="50" spans="2:3" x14ac:dyDescent="0.2">
      <c r="B50" s="48"/>
      <c r="C50" s="49"/>
    </row>
    <row r="51" spans="2:3" ht="15.75" x14ac:dyDescent="0.25">
      <c r="B51" s="33" t="s">
        <v>118</v>
      </c>
      <c r="C51" s="49"/>
    </row>
    <row r="52" spans="2:3" ht="15.75" x14ac:dyDescent="0.2">
      <c r="B52" s="50" t="s">
        <v>119</v>
      </c>
      <c r="C52" s="51">
        <v>0</v>
      </c>
    </row>
    <row r="53" spans="2:3" ht="15.75" x14ac:dyDescent="0.25">
      <c r="B53" s="33"/>
      <c r="C53" s="49"/>
    </row>
    <row r="54" spans="2:3" ht="15.75" x14ac:dyDescent="0.25">
      <c r="B54" s="33" t="s">
        <v>120</v>
      </c>
      <c r="C54" s="51"/>
    </row>
    <row r="55" spans="2:3" ht="15.75" x14ac:dyDescent="0.25">
      <c r="B55" s="33" t="s">
        <v>121</v>
      </c>
      <c r="C55" s="37"/>
    </row>
    <row r="56" spans="2:3" x14ac:dyDescent="0.2">
      <c r="B56" s="48" t="s">
        <v>122</v>
      </c>
      <c r="C56" s="49">
        <f>23.825072968+23.46+0.01</f>
        <v>47.295072967999999</v>
      </c>
    </row>
    <row r="57" spans="2:3" x14ac:dyDescent="0.2">
      <c r="B57" s="48" t="s">
        <v>123</v>
      </c>
      <c r="C57" s="49">
        <f>5.312274483+4.42</f>
        <v>9.7322744830000012</v>
      </c>
    </row>
    <row r="58" spans="2:3" x14ac:dyDescent="0.2">
      <c r="B58" s="48" t="s">
        <v>124</v>
      </c>
      <c r="C58" s="49">
        <f>15.980959152+16.34</f>
        <v>32.320959152</v>
      </c>
    </row>
    <row r="59" spans="2:3" x14ac:dyDescent="0.2">
      <c r="B59" s="48" t="s">
        <v>125</v>
      </c>
      <c r="C59" s="49">
        <f>13.427418176+21.01</f>
        <v>34.437418176000001</v>
      </c>
    </row>
    <row r="60" spans="2:3" x14ac:dyDescent="0.2">
      <c r="B60" s="48" t="s">
        <v>165</v>
      </c>
      <c r="C60" s="49">
        <v>0.77882837000000005</v>
      </c>
    </row>
    <row r="61" spans="2:3" x14ac:dyDescent="0.2">
      <c r="B61" s="48" t="s">
        <v>128</v>
      </c>
      <c r="C61" s="49">
        <v>2.341480582</v>
      </c>
    </row>
    <row r="62" spans="2:3" x14ac:dyDescent="0.2">
      <c r="B62" s="48" t="s">
        <v>166</v>
      </c>
      <c r="C62" s="49">
        <v>3.404788307</v>
      </c>
    </row>
    <row r="63" spans="2:3" x14ac:dyDescent="0.2">
      <c r="B63" s="48" t="s">
        <v>143</v>
      </c>
      <c r="C63" s="49">
        <v>6.6306234010000029</v>
      </c>
    </row>
    <row r="64" spans="2:3" x14ac:dyDescent="0.2">
      <c r="B64" s="48" t="s">
        <v>126</v>
      </c>
      <c r="C64" s="49">
        <f>2.797433773+9.409415016</f>
        <v>12.206848789</v>
      </c>
    </row>
    <row r="65" spans="2:3" x14ac:dyDescent="0.2">
      <c r="B65" s="48" t="s">
        <v>127</v>
      </c>
      <c r="C65" s="49">
        <f>5.101796754+4.91</f>
        <v>10.011796754000001</v>
      </c>
    </row>
    <row r="66" spans="2:3" x14ac:dyDescent="0.2">
      <c r="B66" s="48" t="s">
        <v>128</v>
      </c>
      <c r="C66" s="49">
        <v>7.502370899999998E-2</v>
      </c>
    </row>
    <row r="67" spans="2:3" ht="15.75" x14ac:dyDescent="0.2">
      <c r="B67" s="50" t="s">
        <v>129</v>
      </c>
      <c r="C67" s="52">
        <f>SUM(C56:C66)</f>
        <v>159.23511469099998</v>
      </c>
    </row>
    <row r="68" spans="2:3" ht="15.75" x14ac:dyDescent="0.25">
      <c r="B68" s="33"/>
    </row>
    <row r="69" spans="2:3" ht="15.75" x14ac:dyDescent="0.25">
      <c r="B69" s="33" t="s">
        <v>130</v>
      </c>
      <c r="C69" s="37"/>
    </row>
    <row r="70" spans="2:3" ht="15.75" x14ac:dyDescent="0.25">
      <c r="B70" s="33" t="s">
        <v>131</v>
      </c>
    </row>
    <row r="71" spans="2:3" x14ac:dyDescent="0.2">
      <c r="B71" s="48" t="s">
        <v>132</v>
      </c>
      <c r="C71" s="49">
        <v>0.44520672500000008</v>
      </c>
    </row>
    <row r="72" spans="2:3" x14ac:dyDescent="0.2">
      <c r="B72" s="48" t="s">
        <v>133</v>
      </c>
      <c r="C72" s="49">
        <v>0.36941678700000008</v>
      </c>
    </row>
    <row r="73" spans="2:3" x14ac:dyDescent="0.2">
      <c r="B73" s="48" t="s">
        <v>134</v>
      </c>
      <c r="C73" s="49">
        <f>0.763184496+0.95-0.01</f>
        <v>1.703184496</v>
      </c>
    </row>
    <row r="74" spans="2:3" x14ac:dyDescent="0.2">
      <c r="B74" s="48" t="s">
        <v>135</v>
      </c>
      <c r="C74" s="49">
        <f>0.03748713+0.09</f>
        <v>0.12748713</v>
      </c>
    </row>
    <row r="75" spans="2:3" ht="15.75" x14ac:dyDescent="0.2">
      <c r="B75" s="50" t="s">
        <v>136</v>
      </c>
      <c r="C75" s="51">
        <f>SUM(C71:C74)</f>
        <v>2.6452951380000003</v>
      </c>
    </row>
    <row r="76" spans="2:3" x14ac:dyDescent="0.2">
      <c r="B76" s="48"/>
      <c r="C76" s="49"/>
    </row>
    <row r="77" spans="2:3" ht="15.75" x14ac:dyDescent="0.25">
      <c r="B77" s="33" t="s">
        <v>137</v>
      </c>
      <c r="C77" s="37"/>
    </row>
    <row r="78" spans="2:3" ht="15.75" x14ac:dyDescent="0.25">
      <c r="B78" s="33" t="s">
        <v>138</v>
      </c>
    </row>
    <row r="79" spans="2:3" ht="15.75" x14ac:dyDescent="0.25">
      <c r="B79" s="33" t="s">
        <v>139</v>
      </c>
    </row>
    <row r="80" spans="2:3" x14ac:dyDescent="0.2">
      <c r="B80" s="48" t="s">
        <v>132</v>
      </c>
      <c r="C80" s="49">
        <f>0.94517+0.38</f>
        <v>1.32517</v>
      </c>
    </row>
    <row r="81" spans="2:3" ht="15.75" x14ac:dyDescent="0.25">
      <c r="B81" s="38" t="s">
        <v>140</v>
      </c>
      <c r="C81" s="37">
        <f>SUM(C80)</f>
        <v>1.32517</v>
      </c>
    </row>
    <row r="82" spans="2:3" ht="15.75" x14ac:dyDescent="0.2">
      <c r="B82" s="53"/>
      <c r="C82" s="54"/>
    </row>
    <row r="83" spans="2:3" ht="15.75" x14ac:dyDescent="0.25">
      <c r="B83" s="33" t="s">
        <v>141</v>
      </c>
    </row>
    <row r="84" spans="2:3" ht="15.75" x14ac:dyDescent="0.25">
      <c r="B84" s="33" t="s">
        <v>142</v>
      </c>
      <c r="C84" s="37"/>
    </row>
    <row r="85" spans="2:3" x14ac:dyDescent="0.2">
      <c r="B85" s="48" t="s">
        <v>167</v>
      </c>
      <c r="C85" s="49">
        <f>5.034006527+9.42147522399999</f>
        <v>14.45548175099999</v>
      </c>
    </row>
    <row r="86" spans="2:3" x14ac:dyDescent="0.2">
      <c r="B86" s="48" t="s">
        <v>124</v>
      </c>
      <c r="C86" s="49">
        <f>7.753133921+12.47-0.01</f>
        <v>20.213133920999997</v>
      </c>
    </row>
    <row r="87" spans="2:3" ht="15.75" x14ac:dyDescent="0.25">
      <c r="B87" s="38" t="s">
        <v>144</v>
      </c>
      <c r="C87" s="37">
        <f>SUM(C85:C86)</f>
        <v>34.668615671999987</v>
      </c>
    </row>
    <row r="89" spans="2:3" ht="15.75" x14ac:dyDescent="0.25">
      <c r="B89" s="33" t="s">
        <v>145</v>
      </c>
    </row>
    <row r="90" spans="2:3" ht="15.75" x14ac:dyDescent="0.2">
      <c r="B90" s="50" t="s">
        <v>146</v>
      </c>
      <c r="C90" s="51">
        <v>0</v>
      </c>
    </row>
    <row r="92" spans="2:3" ht="15.75" x14ac:dyDescent="0.2">
      <c r="B92" s="53" t="s">
        <v>147</v>
      </c>
      <c r="C92" s="54">
        <f>C87+C81+C75+C67+C46+C16</f>
        <v>2209.244103301</v>
      </c>
    </row>
    <row r="93" spans="2:3" ht="15.75" x14ac:dyDescent="0.25">
      <c r="B93" s="33" t="s">
        <v>148</v>
      </c>
    </row>
    <row r="94" spans="2:3" ht="15.75" x14ac:dyDescent="0.25">
      <c r="B94" s="38" t="s">
        <v>149</v>
      </c>
      <c r="C94" s="37">
        <v>0</v>
      </c>
    </row>
    <row r="96" spans="2:3" ht="15.75" x14ac:dyDescent="0.2">
      <c r="B96" s="53" t="s">
        <v>150</v>
      </c>
      <c r="C96" s="54">
        <v>1425682.6764199999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DCCC-FE8D-4321-A14B-0C73A2AC907B}">
  <dimension ref="B1:D67"/>
  <sheetViews>
    <sheetView showGridLines="0" rightToLeft="1" topLeftCell="A19" zoomScale="80" zoomScaleNormal="80" workbookViewId="0">
      <selection activeCell="D42" sqref="D42"/>
    </sheetView>
  </sheetViews>
  <sheetFormatPr defaultColWidth="9.125" defaultRowHeight="15" x14ac:dyDescent="0.2"/>
  <cols>
    <col min="1" max="1" width="2.75" style="65" customWidth="1"/>
    <col min="2" max="2" width="5.625" style="70" customWidth="1"/>
    <col min="3" max="3" width="130.625" style="65" customWidth="1"/>
    <col min="4" max="4" width="22.625" style="67" bestFit="1" customWidth="1"/>
    <col min="5" max="16384" width="9.125" style="65"/>
  </cols>
  <sheetData>
    <row r="1" spans="2:4" s="56" customFormat="1" ht="18" x14ac:dyDescent="0.25">
      <c r="B1" s="55"/>
      <c r="D1" s="57"/>
    </row>
    <row r="2" spans="2:4" s="56" customFormat="1" ht="18" customHeight="1" x14ac:dyDescent="0.25">
      <c r="B2" s="58" t="s">
        <v>151</v>
      </c>
      <c r="C2" s="59"/>
      <c r="D2" s="57"/>
    </row>
    <row r="3" spans="2:4" s="56" customFormat="1" ht="18" customHeight="1" x14ac:dyDescent="0.25">
      <c r="B3" s="55"/>
      <c r="D3" s="57"/>
    </row>
    <row r="4" spans="2:4" s="56" customFormat="1" ht="18" customHeight="1" x14ac:dyDescent="0.25">
      <c r="B4" s="60" t="s">
        <v>1</v>
      </c>
      <c r="C4" s="59"/>
      <c r="D4" s="61" t="s">
        <v>2</v>
      </c>
    </row>
    <row r="5" spans="2:4" ht="18" customHeight="1" x14ac:dyDescent="0.25">
      <c r="B5" s="62"/>
      <c r="C5" s="63"/>
      <c r="D5" s="64"/>
    </row>
    <row r="6" spans="2:4" ht="18" customHeight="1" x14ac:dyDescent="0.25">
      <c r="B6" s="66" t="s">
        <v>3</v>
      </c>
    </row>
    <row r="7" spans="2:4" ht="18" customHeight="1" x14ac:dyDescent="0.2">
      <c r="B7" s="68" t="s">
        <v>4</v>
      </c>
      <c r="D7" s="69">
        <f>SUM(D8:D9)</f>
        <v>10.959194040999998</v>
      </c>
    </row>
    <row r="8" spans="2:4" ht="18" customHeight="1" x14ac:dyDescent="0.2">
      <c r="C8" s="65" t="s">
        <v>5</v>
      </c>
      <c r="D8" s="67">
        <f>0.407176921+0.59</f>
        <v>0.99717692099999999</v>
      </c>
    </row>
    <row r="9" spans="2:4" ht="18" customHeight="1" x14ac:dyDescent="0.2">
      <c r="C9" s="65" t="s">
        <v>6</v>
      </c>
      <c r="D9" s="67">
        <f>1.76201712+8.2</f>
        <v>9.9620171199999987</v>
      </c>
    </row>
    <row r="10" spans="2:4" ht="18" customHeight="1" x14ac:dyDescent="0.25">
      <c r="C10" s="71"/>
    </row>
    <row r="11" spans="2:4" ht="18" customHeight="1" x14ac:dyDescent="0.2">
      <c r="B11" s="68" t="s">
        <v>7</v>
      </c>
      <c r="D11" s="69">
        <f>SUM(D12:D13)</f>
        <v>0.377</v>
      </c>
    </row>
    <row r="12" spans="2:4" ht="18" customHeight="1" x14ac:dyDescent="0.2">
      <c r="C12" s="70" t="s">
        <v>8</v>
      </c>
      <c r="D12" s="67">
        <v>0</v>
      </c>
    </row>
    <row r="13" spans="2:4" ht="18" customHeight="1" x14ac:dyDescent="0.2">
      <c r="C13" s="70" t="s">
        <v>9</v>
      </c>
      <c r="D13" s="67">
        <f>0.147+0.23</f>
        <v>0.377</v>
      </c>
    </row>
    <row r="14" spans="2:4" ht="18" customHeight="1" x14ac:dyDescent="0.2">
      <c r="C14" s="70"/>
    </row>
    <row r="15" spans="2:4" ht="18" customHeight="1" x14ac:dyDescent="0.2">
      <c r="B15" s="68" t="s">
        <v>10</v>
      </c>
      <c r="D15" s="69">
        <v>0</v>
      </c>
    </row>
    <row r="16" spans="2:4" ht="18" customHeight="1" x14ac:dyDescent="0.2">
      <c r="C16" s="70" t="s">
        <v>11</v>
      </c>
      <c r="D16" s="67">
        <v>0</v>
      </c>
    </row>
    <row r="17" spans="2:4" ht="18" customHeight="1" x14ac:dyDescent="0.2">
      <c r="C17" s="70" t="s">
        <v>12</v>
      </c>
      <c r="D17" s="67">
        <v>0</v>
      </c>
    </row>
    <row r="18" spans="2:4" ht="18" customHeight="1" x14ac:dyDescent="0.2"/>
    <row r="19" spans="2:4" ht="18" customHeight="1" x14ac:dyDescent="0.2">
      <c r="B19" s="68" t="s">
        <v>13</v>
      </c>
      <c r="D19" s="67">
        <f>4.153+4.51</f>
        <v>8.6630000000000003</v>
      </c>
    </row>
    <row r="20" spans="2:4" ht="18" customHeight="1" x14ac:dyDescent="0.2">
      <c r="B20" s="68"/>
    </row>
    <row r="21" spans="2:4" ht="18" customHeight="1" x14ac:dyDescent="0.2">
      <c r="B21" s="68" t="s">
        <v>14</v>
      </c>
      <c r="D21" s="67">
        <v>0</v>
      </c>
    </row>
    <row r="22" spans="2:4" ht="18" customHeight="1" x14ac:dyDescent="0.2">
      <c r="B22" s="68"/>
    </row>
    <row r="23" spans="2:4" ht="18" customHeight="1" x14ac:dyDescent="0.2">
      <c r="B23" s="68" t="s">
        <v>15</v>
      </c>
      <c r="D23" s="67">
        <v>0</v>
      </c>
    </row>
    <row r="24" spans="2:4" ht="18" customHeight="1" x14ac:dyDescent="0.2">
      <c r="B24" s="68"/>
    </row>
    <row r="25" spans="2:4" ht="18" customHeight="1" x14ac:dyDescent="0.2">
      <c r="B25" s="68" t="s">
        <v>16</v>
      </c>
      <c r="D25" s="67">
        <f>D7+D11+D15+D19+D21+D23</f>
        <v>19.999194040999999</v>
      </c>
    </row>
    <row r="26" spans="2:4" ht="18" customHeight="1" x14ac:dyDescent="0.2">
      <c r="B26" s="68"/>
    </row>
    <row r="27" spans="2:4" ht="18" customHeight="1" x14ac:dyDescent="0.2">
      <c r="B27" s="68" t="s">
        <v>17</v>
      </c>
      <c r="D27" s="67">
        <v>19817.561135000004</v>
      </c>
    </row>
    <row r="28" spans="2:4" ht="18" customHeight="1" x14ac:dyDescent="0.2">
      <c r="C28" s="65" t="s">
        <v>18</v>
      </c>
      <c r="D28" s="67">
        <v>20497.383260000002</v>
      </c>
    </row>
    <row r="29" spans="2:4" ht="18" customHeight="1" x14ac:dyDescent="0.2">
      <c r="C29" s="65" t="s">
        <v>19</v>
      </c>
      <c r="D29" s="67">
        <v>19137.739010000001</v>
      </c>
    </row>
    <row r="30" spans="2:4" ht="18" customHeight="1" x14ac:dyDescent="0.2"/>
    <row r="31" spans="2:4" ht="18" customHeight="1" x14ac:dyDescent="0.2">
      <c r="B31" s="68" t="s">
        <v>20</v>
      </c>
      <c r="D31" s="72">
        <v>3.2643744590623154E-4</v>
      </c>
    </row>
    <row r="32" spans="2:4" ht="18" customHeight="1" x14ac:dyDescent="0.2">
      <c r="B32" s="68"/>
    </row>
    <row r="33" spans="2:4" ht="18" customHeight="1" x14ac:dyDescent="0.25">
      <c r="B33" s="62" t="s">
        <v>21</v>
      </c>
    </row>
    <row r="34" spans="2:4" ht="18" customHeight="1" x14ac:dyDescent="0.2">
      <c r="B34" s="68" t="s">
        <v>22</v>
      </c>
      <c r="D34" s="67">
        <v>0</v>
      </c>
    </row>
    <row r="35" spans="2:4" ht="18" customHeight="1" x14ac:dyDescent="0.2">
      <c r="B35" s="68"/>
    </row>
    <row r="36" spans="2:4" ht="18" customHeight="1" x14ac:dyDescent="0.25">
      <c r="B36" s="62" t="s">
        <v>21</v>
      </c>
    </row>
    <row r="37" spans="2:4" ht="18" customHeight="1" x14ac:dyDescent="0.2">
      <c r="B37" s="68" t="s">
        <v>23</v>
      </c>
      <c r="D37" s="67">
        <f>SUM(D38:D50)</f>
        <v>4.7975484310000001</v>
      </c>
    </row>
    <row r="38" spans="2:4" ht="18" customHeight="1" x14ac:dyDescent="0.2">
      <c r="C38" s="68" t="s">
        <v>24</v>
      </c>
      <c r="D38" s="67">
        <v>0</v>
      </c>
    </row>
    <row r="39" spans="2:4" ht="18" customHeight="1" x14ac:dyDescent="0.2">
      <c r="C39" s="68" t="s">
        <v>25</v>
      </c>
      <c r="D39" s="67">
        <v>0</v>
      </c>
    </row>
    <row r="40" spans="2:4" ht="18" customHeight="1" x14ac:dyDescent="0.2">
      <c r="C40" s="68" t="s">
        <v>26</v>
      </c>
      <c r="D40" s="67">
        <v>0</v>
      </c>
    </row>
    <row r="41" spans="2:4" ht="18" customHeight="1" x14ac:dyDescent="0.2">
      <c r="C41" s="68" t="s">
        <v>27</v>
      </c>
      <c r="D41" s="67">
        <v>0</v>
      </c>
    </row>
    <row r="42" spans="2:4" ht="18" customHeight="1" x14ac:dyDescent="0.2">
      <c r="C42" s="68" t="s">
        <v>28</v>
      </c>
      <c r="D42" s="67">
        <f>0.133937977+0.09-0.041076+0.006124659-0.043243</f>
        <v>0.14574363600000001</v>
      </c>
    </row>
    <row r="43" spans="2:4" ht="18" customHeight="1" x14ac:dyDescent="0.2">
      <c r="C43" s="68" t="s">
        <v>29</v>
      </c>
    </row>
    <row r="44" spans="2:4" ht="18" customHeight="1" x14ac:dyDescent="0.2">
      <c r="C44" s="68" t="s">
        <v>30</v>
      </c>
      <c r="D44" s="67">
        <f>1.43577222+2.73</f>
        <v>4.16577222</v>
      </c>
    </row>
    <row r="45" spans="2:4" ht="18" customHeight="1" x14ac:dyDescent="0.2">
      <c r="C45" s="68" t="s">
        <v>31</v>
      </c>
    </row>
    <row r="46" spans="2:4" ht="18" customHeight="1" x14ac:dyDescent="0.2">
      <c r="C46" s="65" t="s">
        <v>32</v>
      </c>
      <c r="D46" s="67">
        <v>0</v>
      </c>
    </row>
    <row r="47" spans="2:4" ht="18" customHeight="1" x14ac:dyDescent="0.2">
      <c r="C47" s="65" t="s">
        <v>33</v>
      </c>
    </row>
    <row r="48" spans="2:4" ht="18" customHeight="1" x14ac:dyDescent="0.2">
      <c r="C48" s="65" t="s">
        <v>34</v>
      </c>
      <c r="D48" s="67">
        <f>0.236032575+0.25</f>
        <v>0.48603257499999997</v>
      </c>
    </row>
    <row r="49" spans="2:4" ht="18" customHeight="1" x14ac:dyDescent="0.2">
      <c r="C49" s="65" t="s">
        <v>33</v>
      </c>
    </row>
    <row r="50" spans="2:4" ht="18" customHeight="1" x14ac:dyDescent="0.2">
      <c r="C50" s="65" t="s">
        <v>35</v>
      </c>
      <c r="D50" s="67">
        <v>0</v>
      </c>
    </row>
    <row r="51" spans="2:4" ht="18" customHeight="1" x14ac:dyDescent="0.2"/>
    <row r="52" spans="2:4" ht="18" customHeight="1" x14ac:dyDescent="0.2">
      <c r="B52" s="68" t="s">
        <v>36</v>
      </c>
      <c r="D52" s="72">
        <f>D37/D29</f>
        <v>2.5068522611229821E-4</v>
      </c>
    </row>
    <row r="53" spans="2:4" ht="18" customHeight="1" x14ac:dyDescent="0.2">
      <c r="B53" s="68" t="s">
        <v>37</v>
      </c>
      <c r="D53" s="72">
        <v>5.0000000000000001E-4</v>
      </c>
    </row>
    <row r="54" spans="2:4" ht="18" customHeight="1" x14ac:dyDescent="0.2">
      <c r="B54" s="68" t="s">
        <v>38</v>
      </c>
      <c r="D54" s="72">
        <f>D53-D52</f>
        <v>2.493147738877018E-4</v>
      </c>
    </row>
    <row r="55" spans="2:4" ht="18" customHeight="1" x14ac:dyDescent="0.2">
      <c r="B55" s="68"/>
    </row>
    <row r="56" spans="2:4" ht="18" customHeight="1" x14ac:dyDescent="0.2">
      <c r="B56" s="68" t="s">
        <v>39</v>
      </c>
      <c r="D56" s="67">
        <v>0</v>
      </c>
    </row>
    <row r="57" spans="2:4" ht="18" customHeight="1" x14ac:dyDescent="0.2">
      <c r="B57" s="68" t="s">
        <v>40</v>
      </c>
      <c r="D57" s="16">
        <f>IFERROR((SUM(D38:D50)-D56)/D29,0)</f>
        <v>2.5068522611229821E-4</v>
      </c>
    </row>
    <row r="58" spans="2:4" ht="18" customHeight="1" x14ac:dyDescent="0.2">
      <c r="B58" s="68"/>
    </row>
    <row r="59" spans="2:4" ht="18" customHeight="1" x14ac:dyDescent="0.25">
      <c r="B59" s="62" t="s">
        <v>41</v>
      </c>
    </row>
    <row r="60" spans="2:4" ht="18" customHeight="1" x14ac:dyDescent="0.2">
      <c r="B60" s="68" t="s">
        <v>42</v>
      </c>
      <c r="D60" s="3">
        <f>D25+SUM(D38:D50)-D56</f>
        <v>24.796742471999998</v>
      </c>
    </row>
    <row r="61" spans="2:4" ht="18" customHeight="1" x14ac:dyDescent="0.2">
      <c r="B61" s="68"/>
      <c r="D61" s="3"/>
    </row>
    <row r="62" spans="2:4" ht="18" customHeight="1" x14ac:dyDescent="0.2">
      <c r="B62" s="68" t="s">
        <v>43</v>
      </c>
      <c r="D62" s="16">
        <f>IFERROR(D60/D27,0)</f>
        <v>1.2512509638840578E-3</v>
      </c>
    </row>
    <row r="63" spans="2:4" ht="18" customHeight="1" x14ac:dyDescent="0.2">
      <c r="B63" s="68"/>
    </row>
    <row r="64" spans="2:4" ht="18" customHeight="1" x14ac:dyDescent="0.25">
      <c r="B64" s="62" t="s">
        <v>44</v>
      </c>
    </row>
    <row r="65" spans="2:4" ht="18" customHeight="1" x14ac:dyDescent="0.2">
      <c r="B65" s="68" t="s">
        <v>45</v>
      </c>
      <c r="D65" s="72">
        <v>5.0000000000000001E-4</v>
      </c>
    </row>
    <row r="66" spans="2:4" ht="18" customHeight="1" x14ac:dyDescent="0.2">
      <c r="B66" s="68" t="s">
        <v>46</v>
      </c>
    </row>
    <row r="67" spans="2:4" ht="18" customHeight="1" x14ac:dyDescent="0.2">
      <c r="B67" s="68" t="s">
        <v>47</v>
      </c>
      <c r="D67" s="16">
        <f>IFERROR(D31+D65,"יש להשלים את סעיף 18")</f>
        <v>8.2643744590623161E-4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5DEC-C1FE-4BC9-81A5-979D2BC0F015}">
  <dimension ref="B1:D67"/>
  <sheetViews>
    <sheetView showGridLines="0" rightToLeft="1" topLeftCell="A25" zoomScale="90" zoomScaleNormal="90" workbookViewId="0">
      <selection activeCell="D42" sqref="D42"/>
    </sheetView>
  </sheetViews>
  <sheetFormatPr defaultColWidth="9.125" defaultRowHeight="15" x14ac:dyDescent="0.2"/>
  <cols>
    <col min="1" max="1" width="2.75" style="65" customWidth="1"/>
    <col min="2" max="2" width="5.625" style="70" customWidth="1"/>
    <col min="3" max="3" width="130.625" style="65" customWidth="1"/>
    <col min="4" max="4" width="22.25" style="67" bestFit="1" customWidth="1"/>
    <col min="5" max="16384" width="9.125" style="65"/>
  </cols>
  <sheetData>
    <row r="1" spans="2:4" s="56" customFormat="1" ht="18" x14ac:dyDescent="0.25">
      <c r="B1" s="55"/>
      <c r="D1" s="57"/>
    </row>
    <row r="2" spans="2:4" s="56" customFormat="1" ht="18" customHeight="1" x14ac:dyDescent="0.25">
      <c r="B2" s="58" t="s">
        <v>152</v>
      </c>
      <c r="C2" s="59"/>
      <c r="D2" s="57"/>
    </row>
    <row r="3" spans="2:4" s="56" customFormat="1" ht="18" customHeight="1" x14ac:dyDescent="0.25">
      <c r="B3" s="55"/>
      <c r="D3" s="57"/>
    </row>
    <row r="4" spans="2:4" s="56" customFormat="1" ht="18" customHeight="1" x14ac:dyDescent="0.25">
      <c r="B4" s="60" t="s">
        <v>1</v>
      </c>
      <c r="C4" s="59"/>
      <c r="D4" s="61" t="s">
        <v>2</v>
      </c>
    </row>
    <row r="5" spans="2:4" ht="18" customHeight="1" x14ac:dyDescent="0.25">
      <c r="B5" s="62"/>
      <c r="C5" s="63"/>
      <c r="D5" s="64"/>
    </row>
    <row r="6" spans="2:4" ht="18" customHeight="1" x14ac:dyDescent="0.25">
      <c r="B6" s="66" t="s">
        <v>3</v>
      </c>
    </row>
    <row r="7" spans="2:4" ht="18" customHeight="1" x14ac:dyDescent="0.2">
      <c r="B7" s="68" t="s">
        <v>4</v>
      </c>
      <c r="D7" s="69">
        <f>SUM(D8:D9)</f>
        <v>559.75249946100007</v>
      </c>
    </row>
    <row r="8" spans="2:4" ht="18" customHeight="1" x14ac:dyDescent="0.2">
      <c r="C8" s="65" t="s">
        <v>5</v>
      </c>
      <c r="D8" s="67">
        <f>18.189534801+47.64</f>
        <v>65.829534800999994</v>
      </c>
    </row>
    <row r="9" spans="2:4" ht="18" customHeight="1" x14ac:dyDescent="0.2">
      <c r="C9" s="65" t="s">
        <v>6</v>
      </c>
      <c r="D9" s="67">
        <f>90.26296466+403.66</f>
        <v>493.92296466000005</v>
      </c>
    </row>
    <row r="10" spans="2:4" ht="18" customHeight="1" x14ac:dyDescent="0.25">
      <c r="C10" s="71"/>
    </row>
    <row r="11" spans="2:4" ht="18" customHeight="1" x14ac:dyDescent="0.2">
      <c r="B11" s="68" t="s">
        <v>7</v>
      </c>
      <c r="D11" s="69">
        <f>SUM(D12:D13)</f>
        <v>20.659379999999999</v>
      </c>
    </row>
    <row r="12" spans="2:4" ht="18" customHeight="1" x14ac:dyDescent="0.2">
      <c r="C12" s="70" t="s">
        <v>8</v>
      </c>
      <c r="D12" s="67">
        <v>0</v>
      </c>
    </row>
    <row r="13" spans="2:4" ht="18" customHeight="1" x14ac:dyDescent="0.2">
      <c r="C13" s="70" t="s">
        <v>9</v>
      </c>
      <c r="D13" s="67">
        <f>6.08938+14.57</f>
        <v>20.659379999999999</v>
      </c>
    </row>
    <row r="14" spans="2:4" ht="18" customHeight="1" x14ac:dyDescent="0.2">
      <c r="C14" s="70"/>
    </row>
    <row r="15" spans="2:4" ht="18" customHeight="1" x14ac:dyDescent="0.2">
      <c r="B15" s="68" t="s">
        <v>10</v>
      </c>
      <c r="D15" s="69">
        <v>0</v>
      </c>
    </row>
    <row r="16" spans="2:4" ht="18" customHeight="1" x14ac:dyDescent="0.2">
      <c r="C16" s="70" t="s">
        <v>11</v>
      </c>
      <c r="D16" s="67">
        <v>0</v>
      </c>
    </row>
    <row r="17" spans="2:4" ht="18" customHeight="1" x14ac:dyDescent="0.2">
      <c r="C17" s="70" t="s">
        <v>12</v>
      </c>
      <c r="D17" s="67">
        <v>0</v>
      </c>
    </row>
    <row r="18" spans="2:4" ht="18" customHeight="1" x14ac:dyDescent="0.2"/>
    <row r="19" spans="2:4" ht="18" customHeight="1" x14ac:dyDescent="0.2">
      <c r="B19" s="68" t="s">
        <v>13</v>
      </c>
      <c r="D19" s="67">
        <f>333.653+246.83</f>
        <v>580.48300000000006</v>
      </c>
    </row>
    <row r="20" spans="2:4" ht="18" customHeight="1" x14ac:dyDescent="0.2">
      <c r="B20" s="68"/>
    </row>
    <row r="21" spans="2:4" ht="18" customHeight="1" x14ac:dyDescent="0.2">
      <c r="B21" s="68" t="s">
        <v>14</v>
      </c>
      <c r="D21" s="67">
        <v>0</v>
      </c>
    </row>
    <row r="22" spans="2:4" ht="18" customHeight="1" x14ac:dyDescent="0.2">
      <c r="B22" s="68"/>
    </row>
    <row r="23" spans="2:4" ht="18" customHeight="1" x14ac:dyDescent="0.2">
      <c r="B23" s="68" t="s">
        <v>15</v>
      </c>
      <c r="D23" s="67">
        <v>0</v>
      </c>
    </row>
    <row r="24" spans="2:4" ht="18" customHeight="1" x14ac:dyDescent="0.2">
      <c r="B24" s="68"/>
    </row>
    <row r="25" spans="2:4" ht="18" customHeight="1" x14ac:dyDescent="0.2">
      <c r="B25" s="68" t="s">
        <v>16</v>
      </c>
      <c r="D25" s="67">
        <f>D7+D11+D15+D19+D21+D23</f>
        <v>1160.8948794610001</v>
      </c>
    </row>
    <row r="26" spans="2:4" ht="18" customHeight="1" x14ac:dyDescent="0.2">
      <c r="B26" s="68"/>
    </row>
    <row r="27" spans="2:4" ht="18" customHeight="1" x14ac:dyDescent="0.2">
      <c r="B27" s="68" t="s">
        <v>17</v>
      </c>
      <c r="D27" s="67">
        <v>1383503.441445</v>
      </c>
    </row>
    <row r="28" spans="2:4" ht="18" customHeight="1" x14ac:dyDescent="0.2">
      <c r="C28" s="65" t="s">
        <v>18</v>
      </c>
      <c r="D28" s="67">
        <v>1385345.31143</v>
      </c>
    </row>
    <row r="29" spans="2:4" ht="18" customHeight="1" x14ac:dyDescent="0.2">
      <c r="C29" s="65" t="s">
        <v>19</v>
      </c>
      <c r="D29" s="67">
        <v>1381661.57146</v>
      </c>
    </row>
    <row r="30" spans="2:4" ht="18" customHeight="1" x14ac:dyDescent="0.2"/>
    <row r="31" spans="2:4" ht="18" customHeight="1" x14ac:dyDescent="0.2">
      <c r="B31" s="68" t="s">
        <v>20</v>
      </c>
      <c r="D31" s="72">
        <f>D25/D27</f>
        <v>8.3909793404525511E-4</v>
      </c>
    </row>
    <row r="32" spans="2:4" ht="18" customHeight="1" x14ac:dyDescent="0.2">
      <c r="B32" s="68"/>
    </row>
    <row r="33" spans="2:4" ht="18" customHeight="1" x14ac:dyDescent="0.25">
      <c r="B33" s="62" t="s">
        <v>21</v>
      </c>
    </row>
    <row r="34" spans="2:4" ht="18" customHeight="1" x14ac:dyDescent="0.2">
      <c r="B34" s="68" t="s">
        <v>22</v>
      </c>
      <c r="D34" s="67">
        <v>0</v>
      </c>
    </row>
    <row r="35" spans="2:4" ht="18" customHeight="1" x14ac:dyDescent="0.2">
      <c r="B35" s="68"/>
    </row>
    <row r="36" spans="2:4" ht="18" customHeight="1" x14ac:dyDescent="0.25">
      <c r="B36" s="62" t="s">
        <v>21</v>
      </c>
    </row>
    <row r="37" spans="2:4" ht="18" customHeight="1" x14ac:dyDescent="0.2">
      <c r="B37" s="68" t="s">
        <v>23</v>
      </c>
      <c r="D37" s="67">
        <f>SUM(D38:D50)</f>
        <v>2202.3132516599994</v>
      </c>
    </row>
    <row r="38" spans="2:4" ht="18" customHeight="1" x14ac:dyDescent="0.2">
      <c r="C38" s="68" t="s">
        <v>24</v>
      </c>
      <c r="D38" s="67">
        <f>'נספח 1'!D38</f>
        <v>395.90724299999994</v>
      </c>
    </row>
    <row r="39" spans="2:4" ht="18" customHeight="1" x14ac:dyDescent="0.2">
      <c r="C39" s="68" t="s">
        <v>25</v>
      </c>
      <c r="D39" s="67">
        <f>'נספח 1'!D39</f>
        <v>1615.4626647999999</v>
      </c>
    </row>
    <row r="40" spans="2:4" ht="18" customHeight="1" x14ac:dyDescent="0.2">
      <c r="C40" s="68" t="s">
        <v>26</v>
      </c>
      <c r="D40" s="67">
        <v>0</v>
      </c>
    </row>
    <row r="41" spans="2:4" ht="18" customHeight="1" x14ac:dyDescent="0.2">
      <c r="C41" s="68" t="s">
        <v>27</v>
      </c>
      <c r="D41" s="67">
        <v>0</v>
      </c>
    </row>
    <row r="42" spans="2:4" ht="18" customHeight="1" x14ac:dyDescent="0.2">
      <c r="C42" s="68" t="s">
        <v>28</v>
      </c>
      <c r="D42" s="67">
        <f>9.035233126+0.94-2.887415-5.357+0.753316252</f>
        <v>2.4841343779999989</v>
      </c>
    </row>
    <row r="43" spans="2:4" ht="18" customHeight="1" x14ac:dyDescent="0.2">
      <c r="C43" s="68" t="s">
        <v>29</v>
      </c>
    </row>
    <row r="44" spans="2:4" ht="18" customHeight="1" x14ac:dyDescent="0.2">
      <c r="C44" s="68" t="s">
        <v>30</v>
      </c>
      <c r="D44" s="67">
        <f>64.447406568+89.06</f>
        <v>153.50740656800002</v>
      </c>
    </row>
    <row r="45" spans="2:4" ht="18" customHeight="1" x14ac:dyDescent="0.2">
      <c r="C45" s="68" t="s">
        <v>31</v>
      </c>
    </row>
    <row r="46" spans="2:4" ht="18" customHeight="1" x14ac:dyDescent="0.2">
      <c r="C46" s="65" t="s">
        <v>32</v>
      </c>
      <c r="D46" s="67">
        <f>0.94517+0.38</f>
        <v>1.32517</v>
      </c>
    </row>
    <row r="47" spans="2:4" ht="18" customHeight="1" x14ac:dyDescent="0.2">
      <c r="C47" s="65" t="s">
        <v>33</v>
      </c>
    </row>
    <row r="48" spans="2:4" ht="18" customHeight="1" x14ac:dyDescent="0.2">
      <c r="C48" s="65" t="s">
        <v>34</v>
      </c>
      <c r="D48" s="67">
        <f>16.666632914+16.96</f>
        <v>33.626632913999998</v>
      </c>
    </row>
    <row r="49" spans="2:4" ht="18" customHeight="1" x14ac:dyDescent="0.2">
      <c r="C49" s="65" t="s">
        <v>33</v>
      </c>
    </row>
    <row r="50" spans="2:4" ht="18" customHeight="1" x14ac:dyDescent="0.2">
      <c r="C50" s="65" t="s">
        <v>35</v>
      </c>
      <c r="D50" s="67">
        <v>0</v>
      </c>
    </row>
    <row r="51" spans="2:4" ht="18" customHeight="1" x14ac:dyDescent="0.2"/>
    <row r="52" spans="2:4" ht="18" customHeight="1" x14ac:dyDescent="0.2">
      <c r="B52" s="68" t="s">
        <v>36</v>
      </c>
      <c r="D52" s="72">
        <f>D37/D29</f>
        <v>1.5939599806143684E-3</v>
      </c>
    </row>
    <row r="53" spans="2:4" ht="18" customHeight="1" x14ac:dyDescent="0.2">
      <c r="B53" s="68" t="s">
        <v>37</v>
      </c>
      <c r="D53" s="72">
        <v>1.6999999999999999E-3</v>
      </c>
    </row>
    <row r="54" spans="2:4" ht="18" customHeight="1" x14ac:dyDescent="0.2">
      <c r="B54" s="68" t="s">
        <v>38</v>
      </c>
      <c r="D54" s="72">
        <f>D53-D52</f>
        <v>1.0604001938563151E-4</v>
      </c>
    </row>
    <row r="55" spans="2:4" ht="18" customHeight="1" x14ac:dyDescent="0.2">
      <c r="B55" s="68"/>
    </row>
    <row r="56" spans="2:4" ht="18" customHeight="1" x14ac:dyDescent="0.2">
      <c r="B56" s="68" t="s">
        <v>39</v>
      </c>
      <c r="D56" s="67">
        <v>0</v>
      </c>
    </row>
    <row r="57" spans="2:4" ht="18" customHeight="1" x14ac:dyDescent="0.2">
      <c r="B57" s="68" t="s">
        <v>40</v>
      </c>
      <c r="D57" s="72">
        <f>(D37-D56)/D29</f>
        <v>1.5939599806143684E-3</v>
      </c>
    </row>
    <row r="58" spans="2:4" ht="18" customHeight="1" x14ac:dyDescent="0.2">
      <c r="B58" s="68"/>
    </row>
    <row r="59" spans="2:4" ht="18" customHeight="1" x14ac:dyDescent="0.25">
      <c r="B59" s="62" t="s">
        <v>41</v>
      </c>
    </row>
    <row r="60" spans="2:4" ht="18" customHeight="1" x14ac:dyDescent="0.2">
      <c r="B60" s="68" t="s">
        <v>42</v>
      </c>
      <c r="D60" s="67">
        <f>D25+D37-D56</f>
        <v>3363.2081311209995</v>
      </c>
    </row>
    <row r="61" spans="2:4" ht="18" customHeight="1" x14ac:dyDescent="0.2">
      <c r="B61" s="68"/>
    </row>
    <row r="62" spans="2:4" ht="18" customHeight="1" x14ac:dyDescent="0.2">
      <c r="B62" s="68" t="s">
        <v>43</v>
      </c>
      <c r="D62" s="72">
        <f>D60/D27</f>
        <v>2.4309358620809049E-3</v>
      </c>
    </row>
    <row r="63" spans="2:4" ht="18" customHeight="1" x14ac:dyDescent="0.2">
      <c r="B63" s="68"/>
    </row>
    <row r="64" spans="2:4" ht="18" customHeight="1" x14ac:dyDescent="0.25">
      <c r="B64" s="62" t="s">
        <v>44</v>
      </c>
    </row>
    <row r="65" spans="2:4" ht="18" customHeight="1" x14ac:dyDescent="0.2">
      <c r="B65" s="68" t="s">
        <v>45</v>
      </c>
      <c r="D65" s="72">
        <v>1.8E-3</v>
      </c>
    </row>
    <row r="66" spans="2:4" ht="18" customHeight="1" x14ac:dyDescent="0.2">
      <c r="B66" s="68" t="s">
        <v>46</v>
      </c>
    </row>
    <row r="67" spans="2:4" ht="18" customHeight="1" x14ac:dyDescent="0.2">
      <c r="B67" s="68" t="s">
        <v>47</v>
      </c>
      <c r="D67" s="16">
        <f>IFERROR(D31+D65,"יש להשלים את סעיף 18")</f>
        <v>2.6390979340452552E-3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DD5F2-7D80-46A0-B283-BB2DBB6E4847}">
  <dimension ref="B1:E67"/>
  <sheetViews>
    <sheetView showGridLines="0" rightToLeft="1" topLeftCell="A22" zoomScale="80" zoomScaleNormal="80" workbookViewId="0">
      <selection activeCell="D43" sqref="D43"/>
    </sheetView>
  </sheetViews>
  <sheetFormatPr defaultColWidth="9.125" defaultRowHeight="15" x14ac:dyDescent="0.2"/>
  <cols>
    <col min="1" max="1" width="2.75" style="65" customWidth="1"/>
    <col min="2" max="2" width="5.625" style="70" customWidth="1"/>
    <col min="3" max="3" width="130.625" style="65" customWidth="1"/>
    <col min="4" max="4" width="22.625" style="67" bestFit="1" customWidth="1"/>
    <col min="5" max="16384" width="9.125" style="65"/>
  </cols>
  <sheetData>
    <row r="1" spans="2:4" s="56" customFormat="1" ht="18" x14ac:dyDescent="0.25">
      <c r="B1" s="55"/>
      <c r="D1" s="57"/>
    </row>
    <row r="2" spans="2:4" s="56" customFormat="1" ht="18" customHeight="1" x14ac:dyDescent="0.25">
      <c r="B2" s="58" t="s">
        <v>153</v>
      </c>
      <c r="C2" s="59"/>
      <c r="D2" s="57"/>
    </row>
    <row r="3" spans="2:4" s="56" customFormat="1" ht="18" customHeight="1" x14ac:dyDescent="0.25">
      <c r="B3" s="55"/>
      <c r="D3" s="57"/>
    </row>
    <row r="4" spans="2:4" s="56" customFormat="1" ht="18" customHeight="1" x14ac:dyDescent="0.25">
      <c r="B4" s="60" t="s">
        <v>1</v>
      </c>
      <c r="C4" s="59"/>
      <c r="D4" s="61" t="s">
        <v>2</v>
      </c>
    </row>
    <row r="5" spans="2:4" ht="18" customHeight="1" x14ac:dyDescent="0.25">
      <c r="B5" s="62"/>
      <c r="C5" s="63"/>
      <c r="D5" s="64"/>
    </row>
    <row r="6" spans="2:4" ht="18" customHeight="1" x14ac:dyDescent="0.25">
      <c r="B6" s="66" t="s">
        <v>3</v>
      </c>
    </row>
    <row r="7" spans="2:4" ht="18" customHeight="1" x14ac:dyDescent="0.2">
      <c r="B7" s="68" t="s">
        <v>4</v>
      </c>
      <c r="D7" s="69">
        <f>SUM(D8:D9)</f>
        <v>8.8941901659999996</v>
      </c>
    </row>
    <row r="8" spans="2:4" ht="18" customHeight="1" x14ac:dyDescent="0.2">
      <c r="C8" s="65" t="s">
        <v>5</v>
      </c>
      <c r="D8" s="67">
        <f>0.253852016+0.66</f>
        <v>0.9138520160000001</v>
      </c>
    </row>
    <row r="9" spans="2:4" ht="18" customHeight="1" x14ac:dyDescent="0.2">
      <c r="C9" s="65" t="s">
        <v>6</v>
      </c>
      <c r="D9" s="67">
        <f>1.19033815+6.79</f>
        <v>7.9803381499999997</v>
      </c>
    </row>
    <row r="10" spans="2:4" ht="18" customHeight="1" x14ac:dyDescent="0.25">
      <c r="C10" s="71"/>
    </row>
    <row r="11" spans="2:4" ht="18" customHeight="1" x14ac:dyDescent="0.2">
      <c r="B11" s="68" t="s">
        <v>7</v>
      </c>
      <c r="D11" s="69">
        <f>SUM(D12:D13)</f>
        <v>0.31</v>
      </c>
    </row>
    <row r="12" spans="2:4" ht="18" customHeight="1" x14ac:dyDescent="0.2">
      <c r="C12" s="70" t="s">
        <v>8</v>
      </c>
      <c r="D12" s="67">
        <v>0</v>
      </c>
    </row>
    <row r="13" spans="2:4" ht="18" customHeight="1" x14ac:dyDescent="0.2">
      <c r="C13" s="70" t="s">
        <v>9</v>
      </c>
      <c r="D13" s="67">
        <v>0.31</v>
      </c>
    </row>
    <row r="14" spans="2:4" ht="18" customHeight="1" x14ac:dyDescent="0.2">
      <c r="C14" s="70"/>
    </row>
    <row r="15" spans="2:4" ht="18" customHeight="1" x14ac:dyDescent="0.2">
      <c r="B15" s="68" t="s">
        <v>10</v>
      </c>
      <c r="D15" s="69">
        <v>0</v>
      </c>
    </row>
    <row r="16" spans="2:4" ht="18" customHeight="1" x14ac:dyDescent="0.2">
      <c r="C16" s="70" t="s">
        <v>11</v>
      </c>
      <c r="D16" s="67">
        <v>0</v>
      </c>
    </row>
    <row r="17" spans="2:4" ht="18" customHeight="1" x14ac:dyDescent="0.2">
      <c r="C17" s="70" t="s">
        <v>12</v>
      </c>
      <c r="D17" s="67">
        <v>0</v>
      </c>
    </row>
    <row r="18" spans="2:4" ht="18" customHeight="1" x14ac:dyDescent="0.2"/>
    <row r="19" spans="2:4" ht="18" customHeight="1" x14ac:dyDescent="0.2">
      <c r="B19" s="68" t="s">
        <v>13</v>
      </c>
      <c r="D19" s="67">
        <f>2.222+1.49</f>
        <v>3.7119999999999997</v>
      </c>
    </row>
    <row r="20" spans="2:4" ht="18" customHeight="1" x14ac:dyDescent="0.2">
      <c r="B20" s="68"/>
    </row>
    <row r="21" spans="2:4" ht="18" customHeight="1" x14ac:dyDescent="0.2">
      <c r="B21" s="68" t="s">
        <v>14</v>
      </c>
      <c r="D21" s="67">
        <v>0</v>
      </c>
    </row>
    <row r="22" spans="2:4" ht="18" customHeight="1" x14ac:dyDescent="0.2">
      <c r="B22" s="68"/>
    </row>
    <row r="23" spans="2:4" ht="18" customHeight="1" x14ac:dyDescent="0.2">
      <c r="B23" s="68" t="s">
        <v>15</v>
      </c>
      <c r="D23" s="67">
        <v>0</v>
      </c>
    </row>
    <row r="24" spans="2:4" ht="18" customHeight="1" x14ac:dyDescent="0.2">
      <c r="B24" s="68"/>
    </row>
    <row r="25" spans="2:4" ht="18" customHeight="1" x14ac:dyDescent="0.2">
      <c r="B25" s="68" t="s">
        <v>16</v>
      </c>
      <c r="D25" s="67">
        <f>D7+D11+D15+D19+D21+D23</f>
        <v>12.916190166</v>
      </c>
    </row>
    <row r="26" spans="2:4" ht="18" customHeight="1" x14ac:dyDescent="0.2">
      <c r="B26" s="68"/>
    </row>
    <row r="27" spans="2:4" ht="18" customHeight="1" x14ac:dyDescent="0.2">
      <c r="B27" s="68" t="s">
        <v>17</v>
      </c>
      <c r="D27" s="67">
        <v>23121.463394999999</v>
      </c>
    </row>
    <row r="28" spans="2:4" ht="18" customHeight="1" x14ac:dyDescent="0.2">
      <c r="C28" s="65" t="s">
        <v>18</v>
      </c>
      <c r="D28" s="67">
        <v>21359.560839999998</v>
      </c>
    </row>
    <row r="29" spans="2:4" ht="18" customHeight="1" x14ac:dyDescent="0.2">
      <c r="C29" s="65" t="s">
        <v>19</v>
      </c>
      <c r="D29" s="67">
        <v>24883.365949999999</v>
      </c>
    </row>
    <row r="30" spans="2:4" ht="18" customHeight="1" x14ac:dyDescent="0.2"/>
    <row r="31" spans="2:4" ht="18" customHeight="1" x14ac:dyDescent="0.2">
      <c r="B31" s="68" t="s">
        <v>20</v>
      </c>
      <c r="D31" s="72">
        <f>D25/D27</f>
        <v>5.5862338578418515E-4</v>
      </c>
    </row>
    <row r="32" spans="2:4" ht="18" customHeight="1" x14ac:dyDescent="0.2">
      <c r="B32" s="68"/>
    </row>
    <row r="33" spans="2:5" ht="18" customHeight="1" x14ac:dyDescent="0.25">
      <c r="B33" s="62" t="s">
        <v>21</v>
      </c>
    </row>
    <row r="34" spans="2:5" ht="18" customHeight="1" x14ac:dyDescent="0.2">
      <c r="B34" s="68" t="s">
        <v>22</v>
      </c>
      <c r="D34" s="67">
        <v>0</v>
      </c>
    </row>
    <row r="35" spans="2:5" ht="18" customHeight="1" x14ac:dyDescent="0.2">
      <c r="B35" s="68"/>
    </row>
    <row r="36" spans="2:5" ht="18" customHeight="1" x14ac:dyDescent="0.25">
      <c r="B36" s="62" t="s">
        <v>21</v>
      </c>
    </row>
    <row r="37" spans="2:5" ht="18" customHeight="1" x14ac:dyDescent="0.2">
      <c r="B37" s="68" t="s">
        <v>23</v>
      </c>
      <c r="D37" s="67">
        <f>SUM(D38:D50)</f>
        <v>2.1446632179999998</v>
      </c>
    </row>
    <row r="38" spans="2:5" ht="18" customHeight="1" x14ac:dyDescent="0.2">
      <c r="C38" s="68" t="s">
        <v>24</v>
      </c>
      <c r="D38" s="67">
        <v>0</v>
      </c>
    </row>
    <row r="39" spans="2:5" ht="18" customHeight="1" x14ac:dyDescent="0.2">
      <c r="C39" s="68" t="s">
        <v>25</v>
      </c>
      <c r="D39" s="67">
        <v>0</v>
      </c>
    </row>
    <row r="40" spans="2:5" ht="18" customHeight="1" x14ac:dyDescent="0.2">
      <c r="C40" s="68" t="s">
        <v>26</v>
      </c>
      <c r="D40" s="67">
        <v>0</v>
      </c>
    </row>
    <row r="41" spans="2:5" ht="18" customHeight="1" x14ac:dyDescent="0.2">
      <c r="C41" s="68" t="s">
        <v>27</v>
      </c>
      <c r="D41" s="67">
        <v>0</v>
      </c>
    </row>
    <row r="42" spans="2:5" ht="18" customHeight="1" x14ac:dyDescent="0.2">
      <c r="C42" s="68" t="s">
        <v>28</v>
      </c>
      <c r="D42" s="67">
        <f>0.045657335-0.006935-0.026543+0.00374</f>
        <v>1.5919334999999996E-2</v>
      </c>
      <c r="E42" s="75"/>
    </row>
    <row r="43" spans="2:5" ht="18" customHeight="1" x14ac:dyDescent="0.2">
      <c r="C43" s="68" t="s">
        <v>29</v>
      </c>
    </row>
    <row r="44" spans="2:5" ht="18" customHeight="1" x14ac:dyDescent="0.2">
      <c r="C44" s="68" t="s">
        <v>30</v>
      </c>
      <c r="D44" s="67">
        <f>0.636800227+0.93</f>
        <v>1.5668002270000001</v>
      </c>
    </row>
    <row r="45" spans="2:5" ht="18" customHeight="1" x14ac:dyDescent="0.2">
      <c r="C45" s="68" t="s">
        <v>31</v>
      </c>
    </row>
    <row r="46" spans="2:5" ht="18" customHeight="1" x14ac:dyDescent="0.2">
      <c r="C46" s="65" t="s">
        <v>32</v>
      </c>
      <c r="D46" s="67">
        <v>0</v>
      </c>
    </row>
    <row r="47" spans="2:5" ht="18" customHeight="1" x14ac:dyDescent="0.2">
      <c r="C47" s="65" t="s">
        <v>33</v>
      </c>
    </row>
    <row r="48" spans="2:5" ht="18" customHeight="1" x14ac:dyDescent="0.2">
      <c r="C48" s="65" t="s">
        <v>34</v>
      </c>
      <c r="D48" s="67">
        <f>0.271943656+0.29</f>
        <v>0.56194365599999996</v>
      </c>
    </row>
    <row r="49" spans="2:4" ht="18" customHeight="1" x14ac:dyDescent="0.2">
      <c r="C49" s="65" t="s">
        <v>33</v>
      </c>
    </row>
    <row r="50" spans="2:4" ht="18" customHeight="1" x14ac:dyDescent="0.2">
      <c r="C50" s="65" t="s">
        <v>35</v>
      </c>
      <c r="D50" s="67">
        <v>0</v>
      </c>
    </row>
    <row r="51" spans="2:4" ht="18" customHeight="1" x14ac:dyDescent="0.2"/>
    <row r="52" spans="2:4" ht="18" customHeight="1" x14ac:dyDescent="0.2">
      <c r="B52" s="68" t="s">
        <v>36</v>
      </c>
      <c r="D52" s="72">
        <f>D37/D29</f>
        <v>8.6188629878667991E-5</v>
      </c>
    </row>
    <row r="53" spans="2:4" ht="18" customHeight="1" x14ac:dyDescent="0.2">
      <c r="B53" s="68" t="s">
        <v>37</v>
      </c>
      <c r="D53" s="72">
        <v>5.0000000000000001E-4</v>
      </c>
    </row>
    <row r="54" spans="2:4" ht="18" customHeight="1" x14ac:dyDescent="0.2">
      <c r="B54" s="68" t="s">
        <v>38</v>
      </c>
      <c r="D54" s="72">
        <f>D53-D52</f>
        <v>4.1381137012133201E-4</v>
      </c>
    </row>
    <row r="55" spans="2:4" ht="18" customHeight="1" x14ac:dyDescent="0.2">
      <c r="B55" s="68"/>
    </row>
    <row r="56" spans="2:4" ht="18" customHeight="1" x14ac:dyDescent="0.2">
      <c r="B56" s="68" t="s">
        <v>39</v>
      </c>
      <c r="D56" s="67">
        <v>0</v>
      </c>
    </row>
    <row r="57" spans="2:4" ht="18" customHeight="1" x14ac:dyDescent="0.2">
      <c r="B57" s="68" t="s">
        <v>40</v>
      </c>
      <c r="D57" s="72">
        <f>(D37-D56)/D29</f>
        <v>8.6188629878667991E-5</v>
      </c>
    </row>
    <row r="58" spans="2:4" ht="18" customHeight="1" x14ac:dyDescent="0.2">
      <c r="B58" s="68"/>
    </row>
    <row r="59" spans="2:4" ht="18" customHeight="1" x14ac:dyDescent="0.25">
      <c r="B59" s="62" t="s">
        <v>41</v>
      </c>
    </row>
    <row r="60" spans="2:4" ht="18" customHeight="1" x14ac:dyDescent="0.2">
      <c r="B60" s="68" t="s">
        <v>42</v>
      </c>
      <c r="D60" s="67">
        <f>D25+D37-D56</f>
        <v>15.060853384</v>
      </c>
    </row>
    <row r="61" spans="2:4" ht="18" customHeight="1" x14ac:dyDescent="0.2">
      <c r="B61" s="68"/>
    </row>
    <row r="62" spans="2:4" ht="18" customHeight="1" x14ac:dyDescent="0.2">
      <c r="B62" s="68" t="s">
        <v>43</v>
      </c>
      <c r="D62" s="72">
        <f>D60/D27</f>
        <v>6.5137976462410676E-4</v>
      </c>
    </row>
    <row r="63" spans="2:4" ht="18" customHeight="1" x14ac:dyDescent="0.2">
      <c r="B63" s="68"/>
    </row>
    <row r="64" spans="2:4" ht="18" customHeight="1" x14ac:dyDescent="0.25">
      <c r="B64" s="62" t="s">
        <v>44</v>
      </c>
    </row>
    <row r="65" spans="2:4" ht="18" customHeight="1" x14ac:dyDescent="0.2">
      <c r="B65" s="68" t="s">
        <v>45</v>
      </c>
      <c r="D65" s="72">
        <v>5.0000000000000001E-4</v>
      </c>
    </row>
    <row r="66" spans="2:4" ht="18" customHeight="1" x14ac:dyDescent="0.2">
      <c r="B66" s="68" t="s">
        <v>46</v>
      </c>
    </row>
    <row r="67" spans="2:4" ht="18" customHeight="1" x14ac:dyDescent="0.2">
      <c r="B67" s="68" t="s">
        <v>47</v>
      </c>
      <c r="D67" s="16">
        <f>IFERROR(D31+D65,"יש להשלים את סעיף 18")</f>
        <v>1.0586233857841853E-3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7209</vt:lpstr>
      <vt:lpstr>7210</vt:lpstr>
      <vt:lpstr>7211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Even-ezra Yael</dc:creator>
  <cp:lastModifiedBy>Even-ezra Yael</cp:lastModifiedBy>
  <dcterms:created xsi:type="dcterms:W3CDTF">2025-02-12T10:27:37Z</dcterms:created>
  <dcterms:modified xsi:type="dcterms:W3CDTF">2025-02-23T14:33:33Z</dcterms:modified>
</cp:coreProperties>
</file>